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omments1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1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1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1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0.xml" ContentType="application/vnd.openxmlformats-officedocument.drawing+xml"/>
  <Override PartName="/xl/charts/chart1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harts/chart1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harts/chart1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harts/chart2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8.xml" ContentType="application/vnd.openxmlformats-officedocument.drawing+xml"/>
  <Override PartName="/xl/charts/chart2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9.xml" ContentType="application/vnd.openxmlformats-officedocument.drawing+xml"/>
  <Override PartName="/xl/charts/chart2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20.xml" ContentType="application/vnd.openxmlformats-officedocument.drawing+xml"/>
  <Override PartName="/xl/charts/chart2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2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ropbox\Fellowship 1960-2015 PFU database\Data\Machines - Data\Diesel_HDVs\"/>
    </mc:Choice>
  </mc:AlternateContent>
  <xr:revisionPtr revIDLastSave="0" documentId="13_ncr:1_{9C5A8D4F-C92E-4B28-BEDA-AB623A20C934}" xr6:coauthVersionLast="47" xr6:coauthVersionMax="47" xr10:uidLastSave="{00000000-0000-0000-0000-000000000000}"/>
  <bookViews>
    <workbookView xWindow="-120" yWindow="-120" windowWidth="29040" windowHeight="16440" xr2:uid="{00000000-000D-0000-FFFF-FFFF00000000}"/>
  </bookViews>
  <sheets>
    <sheet name="REFS" sheetId="24" r:id="rId1"/>
    <sheet name="FIN_ETA" sheetId="30" r:id="rId2"/>
    <sheet name="PB COMMENTS" sheetId="33" r:id="rId3"/>
    <sheet name="1_HDV calcs" sheetId="27" r:id="rId4"/>
    <sheet name="Country mapping" sheetId="29" r:id="rId5"/>
    <sheet name="1_UK stats HDVs" sheetId="25" r:id="rId6"/>
    <sheet name="1_USA Table 1.8 realworld" sheetId="26" r:id="rId7"/>
    <sheet name="Cunanan2021" sheetId="4" r:id="rId8"/>
    <sheet name="ICCT rodrigeuz 2018" sheetId="32" r:id="rId9"/>
    <sheet name="Daw2013" sheetId="5" r:id="rId10"/>
    <sheet name="Dawood2003" sheetId="6" r:id="rId11"/>
    <sheet name="Delgado2017" sheetId="7" r:id="rId12"/>
    <sheet name="Delgado_2016" sheetId="10" r:id="rId13"/>
    <sheet name="Langer2013" sheetId="13" r:id="rId14"/>
    <sheet name="weller2019" sheetId="20" r:id="rId15"/>
    <sheet name="Smallbone2020" sheetId="18" r:id="rId16"/>
    <sheet name="schoettle2016" sheetId="16" r:id="rId17"/>
    <sheet name="Holmberg 2014" sheetId="31" r:id="rId18"/>
    <sheet name="He_2014" sheetId="8" r:id="rId19"/>
    <sheet name="Karavalakis2016" sheetId="11" r:id="rId20"/>
    <sheet name="Keramydas2019" sheetId="12" r:id="rId21"/>
    <sheet name="Mao2021" sheetId="14" r:id="rId22"/>
    <sheet name="Zamboni2015" sheetId="21" r:id="rId23"/>
    <sheet name="Collier2019" sheetId="3" r:id="rId24"/>
    <sheet name="SS_Tormos2019" sheetId="19" r:id="rId25"/>
    <sheet name="SS_Zhu2010" sheetId="22" r:id="rId26"/>
    <sheet name="SS_Namukasa2020" sheetId="15" r:id="rId27"/>
    <sheet name="SS_Zoldy2019" sheetId="23" r:id="rId28"/>
    <sheet name="SS_Backman" sheetId="2" r:id="rId29"/>
  </sheets>
  <externalReferences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\0">[1]TABLE1a!$U$1:$U$7</definedName>
    <definedName name="\a" localSheetId="2">!#REF!</definedName>
    <definedName name="\a">!#REF!</definedName>
    <definedName name="\b">#N/A</definedName>
    <definedName name="\p">[1]TABLE1a!$P$1</definedName>
    <definedName name="\s" localSheetId="2">!#REF!</definedName>
    <definedName name="\s">!#REF!</definedName>
    <definedName name="\t">[1]TABLE1a!$U$3:$U$3</definedName>
    <definedName name="\z" localSheetId="2">!#REF!</definedName>
    <definedName name="\z">!#REF!</definedName>
    <definedName name="_1.2__Average_distance_travelled_by_mode_of_travel__1975_76__1985_86_and_1993_95" localSheetId="2">#REF!</definedName>
    <definedName name="_1.2__Average_distance_travelled_by_mode_of_travel__1975_76__1985_86_and_1993_95">#REF!</definedName>
    <definedName name="_1981" localSheetId="2">#REF!</definedName>
    <definedName name="_1981">#REF!</definedName>
    <definedName name="_PRv2" localSheetId="2">!#REF!</definedName>
    <definedName name="_PRv2">!#REF!</definedName>
    <definedName name="_PUv2" localSheetId="2">!#REF!</definedName>
    <definedName name="_PUv2">!#REF!</definedName>
    <definedName name="_QU1" localSheetId="2">!#REF!</definedName>
    <definedName name="_QU1">!#REF!</definedName>
    <definedName name="_QU10" localSheetId="2">!#REF!</definedName>
    <definedName name="_QU10">!#REF!</definedName>
    <definedName name="_QU11" localSheetId="2">!#REF!</definedName>
    <definedName name="_QU11">!#REF!</definedName>
    <definedName name="_QU12" localSheetId="2">!#REF!</definedName>
    <definedName name="_QU12">!#REF!</definedName>
    <definedName name="_QU13" localSheetId="2">!#REF!</definedName>
    <definedName name="_QU13">!#REF!</definedName>
    <definedName name="_QU14" localSheetId="2">!#REF!</definedName>
    <definedName name="_QU14">!#REF!</definedName>
    <definedName name="_QU15" localSheetId="2">!#REF!</definedName>
    <definedName name="_QU15">!#REF!</definedName>
    <definedName name="_QU16" localSheetId="2">!#REF!</definedName>
    <definedName name="_QU16">!#REF!</definedName>
    <definedName name="_qu17" localSheetId="2">!#REF!</definedName>
    <definedName name="_qu17">!#REF!</definedName>
    <definedName name="_QU2" localSheetId="2">!#REF!</definedName>
    <definedName name="_QU2">!#REF!</definedName>
    <definedName name="_QU3" localSheetId="2">!#REF!</definedName>
    <definedName name="_QU3">!#REF!</definedName>
    <definedName name="_QU4" localSheetId="2">!#REF!</definedName>
    <definedName name="_QU4">!#REF!</definedName>
    <definedName name="_QU5" localSheetId="2">!#REF!</definedName>
    <definedName name="_QU5">!#REF!</definedName>
    <definedName name="_QU6" localSheetId="2">!#REF!</definedName>
    <definedName name="_QU6">!#REF!</definedName>
    <definedName name="_QU7" localSheetId="2">!#REF!</definedName>
    <definedName name="_QU7">!#REF!</definedName>
    <definedName name="_QU8" localSheetId="2">!#REF!</definedName>
    <definedName name="_QU8">!#REF!</definedName>
    <definedName name="_QU9" localSheetId="2">!#REF!</definedName>
    <definedName name="_QU9">!#REF!</definedName>
    <definedName name="_tab13" localSheetId="2">#REF!</definedName>
    <definedName name="_tab13">#REF!</definedName>
    <definedName name="_tab14" localSheetId="2">#REF!</definedName>
    <definedName name="_tab14">#REF!</definedName>
    <definedName name="_TAB2" localSheetId="2">!#REF!</definedName>
    <definedName name="_TAB2">!#REF!</definedName>
    <definedName name="_TAB9" localSheetId="2">!#REF!</definedName>
    <definedName name="_TAB9">!#REF!</definedName>
    <definedName name="_TRv2" localSheetId="2">!#REF!</definedName>
    <definedName name="_TRv2">!#REF!</definedName>
    <definedName name="_tuv2" localSheetId="2">!#REF!</definedName>
    <definedName name="_tuv2">!#REF!</definedName>
    <definedName name="_Yr01" localSheetId="2">!#REF!</definedName>
    <definedName name="_Yr01">!#REF!</definedName>
    <definedName name="_Yr02" localSheetId="2">!#REF!</definedName>
    <definedName name="_Yr02">!#REF!</definedName>
    <definedName name="activeCell" localSheetId="2">#REF!</definedName>
    <definedName name="activeCell">#REF!</definedName>
    <definedName name="ALL">#N/A</definedName>
    <definedName name="ANNBELGIUM">[1]TABLE5!$D$5:$D$12</definedName>
    <definedName name="ANNDVR">[1]TABLE4AL!$D$6:$D$12</definedName>
    <definedName name="ANNENG">[1]TABLE4AL!$F$6:$F$12</definedName>
    <definedName name="ANNFORIEGN">[1]TABLE1a!$P$37:$P$37</definedName>
    <definedName name="ANNFRANCE">[1]TABLE5!$B$5:$B$12</definedName>
    <definedName name="ANNL">[1]TABLE5!$F$5:$F$12</definedName>
    <definedName name="ANNOTHER">[1]TABLE5!$J$5:$J$12</definedName>
    <definedName name="ANNSE">[1]TABLE4AL!$B$6:$B$12</definedName>
    <definedName name="ANNUAL" localSheetId="2">#REF!</definedName>
    <definedName name="ANNUAL">#REF!</definedName>
    <definedName name="ANNUK">[1]TABLE1a!$E$8:$E$14</definedName>
    <definedName name="ANNUT">[1]TABLE1a!$M$8:$M$14</definedName>
    <definedName name="BARQTR" localSheetId="2">#REF!</definedName>
    <definedName name="BARQTR">#REF!</definedName>
    <definedName name="BELGIUM" localSheetId="2">#REF!</definedName>
    <definedName name="BELGIUM">#REF!</definedName>
    <definedName name="BOTO" localSheetId="2">!#REF!</definedName>
    <definedName name="BOTO">!#REF!</definedName>
    <definedName name="BOTO2" localSheetId="2">!#REF!</definedName>
    <definedName name="BOTO2">!#REF!</definedName>
    <definedName name="BULL">#N/A</definedName>
    <definedName name="CAMARA">[1]TABLE1a!$P$4</definedName>
    <definedName name="CategoryTitle" localSheetId="2">#REF!</definedName>
    <definedName name="CategoryTitle">#REF!</definedName>
    <definedName name="CLONE">[1]TABLE1a!$P$6</definedName>
    <definedName name="COP_max">'[2]Domestic refrigeration'!$B$12</definedName>
    <definedName name="DASH" localSheetId="2">!#REF!</definedName>
    <definedName name="DASH">!#REF!</definedName>
    <definedName name="Data_col1" localSheetId="2">!#REF!</definedName>
    <definedName name="Data_col1">!#REF!</definedName>
    <definedName name="DEFLATOR" localSheetId="2">#REF!</definedName>
    <definedName name="DEFLATOR">#REF!</definedName>
    <definedName name="deltaE_food" localSheetId="2">#REF!</definedName>
    <definedName name="deltaE_food">#REF!</definedName>
    <definedName name="dgdsfyh" localSheetId="2">#REF!</definedName>
    <definedName name="dgdsfyh">#REF!</definedName>
    <definedName name="DK" localSheetId="2">#REF!</definedName>
    <definedName name="DK">#REF!</definedName>
    <definedName name="DNK_D" localSheetId="2">#REF!</definedName>
    <definedName name="DNK_D">#REF!</definedName>
    <definedName name="DOVER">#N/A</definedName>
    <definedName name="EIRE" localSheetId="2">#REF!</definedName>
    <definedName name="EIRE">#REF!</definedName>
    <definedName name="ENGLISH">#N/A</definedName>
    <definedName name="Ep_tot_cap_2000" localSheetId="2">#REF!</definedName>
    <definedName name="Ep_tot_cap_2000">#REF!</definedName>
    <definedName name="eta_charcoal">[3]Afrane_2012!$B$6</definedName>
    <definedName name="exchange_rate" localSheetId="2">!#REF!</definedName>
    <definedName name="exchange_rate">!#REF!</definedName>
    <definedName name="fbegyear" localSheetId="2">#REF!</definedName>
    <definedName name="fbegyear">#REF!</definedName>
    <definedName name="fendyear">[4]Year!$B$3</definedName>
    <definedName name="FL" localSheetId="2">#REF!</definedName>
    <definedName name="FL">#REF!</definedName>
    <definedName name="Footnotes" localSheetId="2">#REF!</definedName>
    <definedName name="Footnotes">#REF!</definedName>
    <definedName name="FOREIGN">[1]TABLE1a!$P$38:$P$52</definedName>
    <definedName name="FRANCE" localSheetId="2">#REF!</definedName>
    <definedName name="FRANCE">#REF!</definedName>
    <definedName name="fyear">[4]c11!$D$42</definedName>
    <definedName name="GEOG9703" localSheetId="2">!#REF!</definedName>
    <definedName name="GEOG9703">!#REF!</definedName>
    <definedName name="GERMANY" localSheetId="2">#REF!</definedName>
    <definedName name="GERMANY">#REF!</definedName>
    <definedName name="GraphData">'[5]TIS-INDEX'!$B$13:$Q$44,'[5]TIS-INDEX'!$E$9:$R$9</definedName>
    <definedName name="GraphTitle" localSheetId="2">#REF!</definedName>
    <definedName name="GraphTitle">#REF!</definedName>
    <definedName name="ITALY" localSheetId="2">#REF!</definedName>
    <definedName name="ITALY">#REF!</definedName>
    <definedName name="Lon" localSheetId="2">!#REF!</definedName>
    <definedName name="Lon">!#REF!</definedName>
    <definedName name="MIN" localSheetId="2">!#REF!</definedName>
    <definedName name="MIN">!#REF!</definedName>
    <definedName name="mincheck" localSheetId="2">!#REF!</definedName>
    <definedName name="mincheck">!#REF!</definedName>
    <definedName name="N_ml" localSheetId="2">#REF!</definedName>
    <definedName name="N_ml">#REF!</definedName>
    <definedName name="name" localSheetId="2">!#REF!</definedName>
    <definedName name="name">!#REF!</definedName>
    <definedName name="NLS" localSheetId="2">#REF!</definedName>
    <definedName name="NLS">#REF!</definedName>
    <definedName name="NONEC" localSheetId="2">#REF!</definedName>
    <definedName name="NONEC">#REF!</definedName>
    <definedName name="NORTHSEA">#N/A</definedName>
    <definedName name="OldData" localSheetId="2">#REF!</definedName>
    <definedName name="OldData">#REF!</definedName>
    <definedName name="OTHER">#N/A</definedName>
    <definedName name="OTHEREC" localSheetId="2">#REF!</definedName>
    <definedName name="OTHEREC">#REF!</definedName>
    <definedName name="phi_Combustible_renewables">[2]phi_heat!$C$17</definedName>
    <definedName name="phi_Electricity">[2]phi_heat!$C$28</definedName>
    <definedName name="phi_Feed">[2]phi_heat!$C$27</definedName>
    <definedName name="phi_Food">[2]phi_heat!$C$26</definedName>
    <definedName name="phi_HTH.600.C">[2]phi_heat!$C$10</definedName>
    <definedName name="phi_Hydro">[2]phi_heat!$C$19</definedName>
    <definedName name="phi_LTH.neg20.C">[2]phi_heat!$C$6</definedName>
    <definedName name="phi_MTH.100.C">[2]phi_heat!$C$8</definedName>
    <definedName name="phi_MTH.200.C">[2]phi_heat!$C$9</definedName>
    <definedName name="phi_Natural_gas">[2]phi_heat!$C$15</definedName>
    <definedName name="phi_Oil_and_oil_products">[2]phi_heat!$C$16</definedName>
    <definedName name="phi_Phytomass">[2]phi_heat!$C$29</definedName>
    <definedName name="PIE" localSheetId="2">#REF!</definedName>
    <definedName name="PIE">#REF!</definedName>
    <definedName name="PM">"['file:///C:/temp/Working%20files/6.11.9%20DW%20LHA%20&amp;%20HA%20roads%20casulties_1WIP.xls'#$Sheet1.$K$1:.$S$13]"</definedName>
    <definedName name="PR" localSheetId="2">!#REF!</definedName>
    <definedName name="PR">!#REF!</definedName>
    <definedName name="_xlnm.Print_Area" localSheetId="2">#REF!</definedName>
    <definedName name="_xlnm.Print_Area">#REF!</definedName>
    <definedName name="Print_Area_MI">[1]TABLE1a!$A$1:$O$37</definedName>
    <definedName name="PU" localSheetId="2">!#REF!</definedName>
    <definedName name="PU">!#REF!</definedName>
    <definedName name="PUBLISH_Print_Area" localSheetId="2">#REF!</definedName>
    <definedName name="PUBLISH_Print_Area">#REF!</definedName>
    <definedName name="PUBLISH1998_Print_Area" localSheetId="2">#REF!</definedName>
    <definedName name="PUBLISH1998_Print_Area">#REF!</definedName>
    <definedName name="qryNonEUBreakdown" localSheetId="2">#REF!</definedName>
    <definedName name="qryNonEUBreakdown">#REF!</definedName>
    <definedName name="QUARTER" localSheetId="2">#REF!</definedName>
    <definedName name="QUARTER">#REF!</definedName>
    <definedName name="R_" localSheetId="2">!#REF!</definedName>
    <definedName name="R_">!#REF!</definedName>
    <definedName name="region" localSheetId="2">!#REF!</definedName>
    <definedName name="region">!#REF!</definedName>
    <definedName name="S_food" localSheetId="2">#REF!</definedName>
    <definedName name="S_food">#REF!</definedName>
    <definedName name="S_food_2000" localSheetId="2">#REF!</definedName>
    <definedName name="S_food_2000">#REF!</definedName>
    <definedName name="S_food_S_food_2000" localSheetId="2">#REF!</definedName>
    <definedName name="S_food_S_food_2000">#REF!</definedName>
    <definedName name="SPAIN" localSheetId="2">#REF!</definedName>
    <definedName name="SPAIN">#REF!</definedName>
    <definedName name="T_0_ref">'[2]Domestic refrigeration'!$B$10</definedName>
    <definedName name="T_ref">'[2]Domestic refrigeration'!$B$11</definedName>
    <definedName name="tab">[6]TABLE1a!$U$3:$U$3</definedName>
    <definedName name="TAB4ALL">#N/A</definedName>
    <definedName name="TAB4PV">#N/A</definedName>
    <definedName name="TAB4UT">#N/A</definedName>
    <definedName name="TAB5cQT" localSheetId="2">!#REF!</definedName>
    <definedName name="TAB5cQT">!#REF!</definedName>
    <definedName name="TableTitle" localSheetId="2">#REF!</definedName>
    <definedName name="TableTitle">#REF!</definedName>
    <definedName name="TB6a_bik" localSheetId="2">!#REF!</definedName>
    <definedName name="TB6a_bik">!#REF!</definedName>
    <definedName name="TB6a_car" localSheetId="2">!#REF!</definedName>
    <definedName name="TB6a_car">!#REF!</definedName>
    <definedName name="TB6a_cyc" localSheetId="2">!#REF!</definedName>
    <definedName name="TB6a_cyc">!#REF!</definedName>
    <definedName name="TB6a_ped" localSheetId="2">!#REF!</definedName>
    <definedName name="TB6a_ped">!#REF!</definedName>
    <definedName name="TB6b_bik" localSheetId="2">!#REF!</definedName>
    <definedName name="TB6b_bik">!#REF!</definedName>
    <definedName name="TB6b_car" localSheetId="2">!#REF!</definedName>
    <definedName name="TB6b_car">!#REF!</definedName>
    <definedName name="TB6b_cyc" localSheetId="2">!#REF!</definedName>
    <definedName name="TB6b_cyc">!#REF!</definedName>
    <definedName name="TB6b_ped" localSheetId="2">!#REF!</definedName>
    <definedName name="TB6b_ped">!#REF!</definedName>
    <definedName name="TB6c_bik" localSheetId="2">!#REF!</definedName>
    <definedName name="TB6c_bik">!#REF!</definedName>
    <definedName name="TB6c_car" localSheetId="2">!#REF!</definedName>
    <definedName name="TB6c_car">!#REF!</definedName>
    <definedName name="TB6c_cyc" localSheetId="2">!#REF!</definedName>
    <definedName name="TB6c_cyc">!#REF!</definedName>
    <definedName name="TB6c_ped" localSheetId="2">!#REF!</definedName>
    <definedName name="TB6c_ped">!#REF!</definedName>
    <definedName name="temp02" localSheetId="2">!#REF!</definedName>
    <definedName name="temp02">!#REF!</definedName>
    <definedName name="testing" localSheetId="2">#REF!</definedName>
    <definedName name="testing">#REF!</definedName>
    <definedName name="TM">"['file:///C:/temp/Working%20files/6.11.9%20DW%20LHA%20&amp;%20HA%20roads%20casulties_1WIP.xls'#$Sheet1.$A$1:.$I$119]"</definedName>
    <definedName name="TOP" localSheetId="2">!#REF!</definedName>
    <definedName name="TOP">!#REF!</definedName>
    <definedName name="TR">"['file:///C:/temp/Working%20files/6.11.9%20DW%20LHA%20&amp;%20HA%20roads%20casulties_1WIP.xls'#$Sheet1.$U$1:.$AB$146]"</definedName>
    <definedName name="TU">"['file:///C:/temp/Working%20files/6.11.9%20DW%20LHA%20&amp;%20HA%20roads%20casulties_1WIP.xls'#$Sheet1.$AC$1:.$AJ$133]"</definedName>
    <definedName name="UK">#N/A</definedName>
    <definedName name="UT">#N/A</definedName>
    <definedName name="v" localSheetId="2">!#REF!</definedName>
    <definedName name="v">!#REF!</definedName>
    <definedName name="ValueTitle" localSheetId="2">#REF!</definedName>
    <definedName name="ValueTitle">#REF!</definedName>
    <definedName name="w" localSheetId="2">#REF!</definedName>
    <definedName name="w">#REF!</definedName>
    <definedName name="Year_Food" localSheetId="2">#REF!</definedName>
    <definedName name="Year_Food">#REF!</definedName>
    <definedName name="Yr00" localSheetId="2">!#REF!</definedName>
    <definedName name="Yr00">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4" i="33" l="1"/>
  <c r="G66" i="27" l="1"/>
  <c r="G61" i="27" s="1"/>
  <c r="H66" i="27"/>
  <c r="H61" i="27" s="1"/>
  <c r="I66" i="27"/>
  <c r="I61" i="27" s="1"/>
  <c r="J66" i="27"/>
  <c r="J61" i="27" s="1"/>
  <c r="K66" i="27"/>
  <c r="K61" i="27" s="1"/>
  <c r="L66" i="27"/>
  <c r="L61" i="27" s="1"/>
  <c r="M66" i="27"/>
  <c r="M61" i="27" s="1"/>
  <c r="N66" i="27"/>
  <c r="N61" i="27" s="1"/>
  <c r="O66" i="27"/>
  <c r="O61" i="27" s="1"/>
  <c r="P66" i="27"/>
  <c r="P61" i="27" s="1"/>
  <c r="Q66" i="27"/>
  <c r="Q61" i="27" s="1"/>
  <c r="R66" i="27"/>
  <c r="R61" i="27" s="1"/>
  <c r="S66" i="27"/>
  <c r="S61" i="27" s="1"/>
  <c r="T66" i="27"/>
  <c r="T61" i="27" s="1"/>
  <c r="U66" i="27"/>
  <c r="U61" i="27" s="1"/>
  <c r="V66" i="27"/>
  <c r="V61" i="27" s="1"/>
  <c r="W66" i="27"/>
  <c r="W61" i="27" s="1"/>
  <c r="X66" i="27"/>
  <c r="X61" i="27" s="1"/>
  <c r="Y66" i="27"/>
  <c r="Y61" i="27" s="1"/>
  <c r="Z66" i="27"/>
  <c r="Z61" i="27" s="1"/>
  <c r="AA66" i="27"/>
  <c r="AA61" i="27" s="1"/>
  <c r="AB66" i="27"/>
  <c r="AB61" i="27" s="1"/>
  <c r="AC66" i="27"/>
  <c r="AC61" i="27" s="1"/>
  <c r="AD66" i="27"/>
  <c r="AD61" i="27" s="1"/>
  <c r="AE66" i="27"/>
  <c r="AE61" i="27" s="1"/>
  <c r="AF66" i="27"/>
  <c r="AF61" i="27" s="1"/>
  <c r="AG66" i="27"/>
  <c r="AG61" i="27" s="1"/>
  <c r="AH66" i="27"/>
  <c r="AH61" i="27" s="1"/>
  <c r="AI66" i="27"/>
  <c r="AI61" i="27" s="1"/>
  <c r="AJ66" i="27"/>
  <c r="AJ61" i="27" s="1"/>
  <c r="AK66" i="27"/>
  <c r="AK61" i="27" s="1"/>
  <c r="AL66" i="27"/>
  <c r="AL61" i="27" s="1"/>
  <c r="AM66" i="27"/>
  <c r="AM61" i="27" s="1"/>
  <c r="AN66" i="27"/>
  <c r="AN61" i="27" s="1"/>
  <c r="AO66" i="27"/>
  <c r="AO61" i="27" s="1"/>
  <c r="AP66" i="27"/>
  <c r="AP61" i="27" s="1"/>
  <c r="AQ66" i="27"/>
  <c r="AQ61" i="27" s="1"/>
  <c r="AR66" i="27"/>
  <c r="AR61" i="27" s="1"/>
  <c r="AS66" i="27"/>
  <c r="AS61" i="27" s="1"/>
  <c r="AT66" i="27"/>
  <c r="AT61" i="27" s="1"/>
  <c r="AU66" i="27"/>
  <c r="AU61" i="27" s="1"/>
  <c r="AV66" i="27"/>
  <c r="AV61" i="27" s="1"/>
  <c r="AW66" i="27"/>
  <c r="AW61" i="27" s="1"/>
  <c r="AX66" i="27"/>
  <c r="AX61" i="27" s="1"/>
  <c r="AY66" i="27"/>
  <c r="AY61" i="27" s="1"/>
  <c r="AZ66" i="27"/>
  <c r="AZ61" i="27" s="1"/>
  <c r="BA66" i="27"/>
  <c r="BA61" i="27" s="1"/>
  <c r="BB66" i="27"/>
  <c r="BB61" i="27" s="1"/>
  <c r="BC66" i="27"/>
  <c r="BC61" i="27" s="1"/>
  <c r="BD66" i="27"/>
  <c r="BD61" i="27" s="1"/>
  <c r="BE66" i="27"/>
  <c r="BE61" i="27" s="1"/>
  <c r="BF66" i="27"/>
  <c r="BF61" i="27" s="1"/>
  <c r="BG66" i="27"/>
  <c r="BG61" i="27" s="1"/>
  <c r="BH66" i="27"/>
  <c r="BH61" i="27" s="1"/>
  <c r="BI66" i="27"/>
  <c r="BI61" i="27" s="1"/>
  <c r="BJ66" i="27"/>
  <c r="BJ61" i="27" s="1"/>
  <c r="BK66" i="27"/>
  <c r="BK61" i="27" s="1"/>
  <c r="BL66" i="27"/>
  <c r="BL61" i="27" s="1"/>
  <c r="BM66" i="27"/>
  <c r="BM61" i="27" s="1"/>
  <c r="F66" i="27"/>
  <c r="F61" i="27" s="1"/>
  <c r="E66" i="27"/>
  <c r="E61" i="27" s="1"/>
  <c r="A3" i="30" l="1"/>
  <c r="AS3" i="30"/>
  <c r="BL3" i="30"/>
  <c r="L27" i="27"/>
  <c r="M27" i="27"/>
  <c r="N27" i="27"/>
  <c r="O27" i="27"/>
  <c r="P27" i="27"/>
  <c r="Q27" i="27"/>
  <c r="R27" i="27"/>
  <c r="S27" i="27"/>
  <c r="T27" i="27"/>
  <c r="U27" i="27"/>
  <c r="V27" i="27"/>
  <c r="W27" i="27"/>
  <c r="X27" i="27"/>
  <c r="Y27" i="27"/>
  <c r="Z27" i="27"/>
  <c r="AA27" i="27"/>
  <c r="AB27" i="27"/>
  <c r="AC27" i="27"/>
  <c r="AD27" i="27"/>
  <c r="AE27" i="27"/>
  <c r="AF27" i="27"/>
  <c r="AG27" i="27"/>
  <c r="AH27" i="27"/>
  <c r="AI27" i="27"/>
  <c r="AJ27" i="27"/>
  <c r="AK27" i="27"/>
  <c r="AL27" i="27"/>
  <c r="AM27" i="27"/>
  <c r="AN27" i="27"/>
  <c r="AO27" i="27"/>
  <c r="AP27" i="27"/>
  <c r="AQ27" i="27"/>
  <c r="AR27" i="27"/>
  <c r="AS27" i="27"/>
  <c r="AT27" i="27"/>
  <c r="AU27" i="27"/>
  <c r="AV27" i="27"/>
  <c r="AW27" i="27"/>
  <c r="AX27" i="27"/>
  <c r="AY27" i="27"/>
  <c r="AZ27" i="27"/>
  <c r="BA27" i="27"/>
  <c r="BB27" i="27"/>
  <c r="BC27" i="27"/>
  <c r="L28" i="27"/>
  <c r="M28" i="27"/>
  <c r="N28" i="27"/>
  <c r="O28" i="27"/>
  <c r="P28" i="27"/>
  <c r="Q28" i="27"/>
  <c r="R28" i="27"/>
  <c r="S28" i="27"/>
  <c r="T28" i="27"/>
  <c r="U28" i="27"/>
  <c r="V28" i="27"/>
  <c r="W28" i="27"/>
  <c r="X28" i="27"/>
  <c r="Y28" i="27"/>
  <c r="Z28" i="27"/>
  <c r="AA28" i="27"/>
  <c r="AB28" i="27"/>
  <c r="AC28" i="27"/>
  <c r="AD28" i="27"/>
  <c r="AE28" i="27"/>
  <c r="AF28" i="27"/>
  <c r="AG28" i="27"/>
  <c r="AH28" i="27"/>
  <c r="AI28" i="27"/>
  <c r="AJ28" i="27"/>
  <c r="AK28" i="27"/>
  <c r="AL28" i="27"/>
  <c r="AM28" i="27"/>
  <c r="AN28" i="27"/>
  <c r="AO28" i="27"/>
  <c r="AP28" i="27"/>
  <c r="AQ28" i="27"/>
  <c r="AR28" i="27"/>
  <c r="AS28" i="27"/>
  <c r="AT28" i="27"/>
  <c r="AU28" i="27"/>
  <c r="AV28" i="27"/>
  <c r="AW28" i="27"/>
  <c r="AX28" i="27"/>
  <c r="AY28" i="27"/>
  <c r="AZ28" i="27"/>
  <c r="BA28" i="27"/>
  <c r="BB28" i="27"/>
  <c r="BC28" i="27"/>
  <c r="L29" i="27"/>
  <c r="M29" i="27"/>
  <c r="N29" i="27"/>
  <c r="O29" i="27"/>
  <c r="P29" i="27"/>
  <c r="Q29" i="27"/>
  <c r="R29" i="27"/>
  <c r="S29" i="27"/>
  <c r="T29" i="27"/>
  <c r="U29" i="27"/>
  <c r="V29" i="27"/>
  <c r="W29" i="27"/>
  <c r="X29" i="27"/>
  <c r="Y29" i="27"/>
  <c r="Z29" i="27"/>
  <c r="AA29" i="27"/>
  <c r="AB29" i="27"/>
  <c r="AC29" i="27"/>
  <c r="AD29" i="27"/>
  <c r="AE29" i="27"/>
  <c r="AF29" i="27"/>
  <c r="AG29" i="27"/>
  <c r="AH29" i="27"/>
  <c r="AI29" i="27"/>
  <c r="AJ29" i="27"/>
  <c r="AK29" i="27"/>
  <c r="AL29" i="27"/>
  <c r="AM29" i="27"/>
  <c r="AN29" i="27"/>
  <c r="AO29" i="27"/>
  <c r="AP29" i="27"/>
  <c r="AQ29" i="27"/>
  <c r="AR29" i="27"/>
  <c r="AS29" i="27"/>
  <c r="AT29" i="27"/>
  <c r="AU29" i="27"/>
  <c r="AV29" i="27"/>
  <c r="AW29" i="27"/>
  <c r="AX29" i="27"/>
  <c r="AY29" i="27"/>
  <c r="AZ29" i="27"/>
  <c r="BA29" i="27"/>
  <c r="BB29" i="27"/>
  <c r="BC29" i="27"/>
  <c r="L30" i="27"/>
  <c r="M30" i="27"/>
  <c r="N30" i="27"/>
  <c r="O30" i="27"/>
  <c r="P30" i="27"/>
  <c r="Q30" i="27"/>
  <c r="R30" i="27"/>
  <c r="S30" i="27"/>
  <c r="T30" i="27"/>
  <c r="U30" i="27"/>
  <c r="V30" i="27"/>
  <c r="W30" i="27"/>
  <c r="X30" i="27"/>
  <c r="Y30" i="27"/>
  <c r="Z30" i="27"/>
  <c r="AA30" i="27"/>
  <c r="AB30" i="27"/>
  <c r="AC30" i="27"/>
  <c r="AD30" i="27"/>
  <c r="AE30" i="27"/>
  <c r="AF30" i="27"/>
  <c r="AG30" i="27"/>
  <c r="AH30" i="27"/>
  <c r="AI30" i="27"/>
  <c r="AJ30" i="27"/>
  <c r="AK30" i="27"/>
  <c r="AL30" i="27"/>
  <c r="AM30" i="27"/>
  <c r="AN30" i="27"/>
  <c r="AO30" i="27"/>
  <c r="AP30" i="27"/>
  <c r="AQ30" i="27"/>
  <c r="AR30" i="27"/>
  <c r="AS30" i="27"/>
  <c r="AT30" i="27"/>
  <c r="AU30" i="27"/>
  <c r="AV30" i="27"/>
  <c r="AW30" i="27"/>
  <c r="AX30" i="27"/>
  <c r="AY30" i="27"/>
  <c r="AZ30" i="27"/>
  <c r="BA30" i="27"/>
  <c r="BB30" i="27"/>
  <c r="BC30" i="27"/>
  <c r="L31" i="27"/>
  <c r="M31" i="27"/>
  <c r="N31" i="27"/>
  <c r="O31" i="27"/>
  <c r="P31" i="27"/>
  <c r="Q31" i="27"/>
  <c r="R31" i="27"/>
  <c r="S31" i="27"/>
  <c r="T31" i="27"/>
  <c r="U31" i="27"/>
  <c r="V31" i="27"/>
  <c r="W31" i="27"/>
  <c r="X31" i="27"/>
  <c r="Y31" i="27"/>
  <c r="Z31" i="27"/>
  <c r="AA31" i="27"/>
  <c r="AB31" i="27"/>
  <c r="AC31" i="27"/>
  <c r="AD31" i="27"/>
  <c r="AE31" i="27"/>
  <c r="AF31" i="27"/>
  <c r="AG31" i="27"/>
  <c r="AH31" i="27"/>
  <c r="AI31" i="27"/>
  <c r="AJ31" i="27"/>
  <c r="AK31" i="27"/>
  <c r="AL31" i="27"/>
  <c r="AM31" i="27"/>
  <c r="AN31" i="27"/>
  <c r="AO31" i="27"/>
  <c r="AP31" i="27"/>
  <c r="AQ31" i="27"/>
  <c r="AR31" i="27"/>
  <c r="AS31" i="27"/>
  <c r="AT31" i="27"/>
  <c r="AU31" i="27"/>
  <c r="AV31" i="27"/>
  <c r="AW31" i="27"/>
  <c r="AX31" i="27"/>
  <c r="AY31" i="27"/>
  <c r="AZ31" i="27"/>
  <c r="BA31" i="27"/>
  <c r="BB31" i="27"/>
  <c r="BC31" i="27"/>
  <c r="L32" i="27"/>
  <c r="M32" i="27"/>
  <c r="N32" i="27"/>
  <c r="O32" i="27"/>
  <c r="P32" i="27"/>
  <c r="Q32" i="27"/>
  <c r="R32" i="27"/>
  <c r="S32" i="27"/>
  <c r="T32" i="27"/>
  <c r="U32" i="27"/>
  <c r="V32" i="27"/>
  <c r="W32" i="27"/>
  <c r="X32" i="27"/>
  <c r="Y32" i="27"/>
  <c r="Z32" i="27"/>
  <c r="AA32" i="27"/>
  <c r="AB32" i="27"/>
  <c r="AC32" i="27"/>
  <c r="AD32" i="27"/>
  <c r="AE32" i="27"/>
  <c r="AF32" i="27"/>
  <c r="AG32" i="27"/>
  <c r="AH32" i="27"/>
  <c r="AI32" i="27"/>
  <c r="AJ32" i="27"/>
  <c r="AK32" i="27"/>
  <c r="AL32" i="27"/>
  <c r="AM32" i="27"/>
  <c r="AN32" i="27"/>
  <c r="AO32" i="27"/>
  <c r="AP32" i="27"/>
  <c r="AQ32" i="27"/>
  <c r="AR32" i="27"/>
  <c r="AS32" i="27"/>
  <c r="AT32" i="27"/>
  <c r="AU32" i="27"/>
  <c r="AV32" i="27"/>
  <c r="AW32" i="27"/>
  <c r="AX32" i="27"/>
  <c r="AY32" i="27"/>
  <c r="AZ32" i="27"/>
  <c r="BA32" i="27"/>
  <c r="BB32" i="27"/>
  <c r="BC32" i="27"/>
  <c r="H31" i="27"/>
  <c r="I31" i="27"/>
  <c r="J31" i="27"/>
  <c r="K31" i="27"/>
  <c r="H32" i="27"/>
  <c r="I32" i="27"/>
  <c r="J32" i="27"/>
  <c r="K32" i="27"/>
  <c r="G32" i="27"/>
  <c r="G31" i="27"/>
  <c r="H27" i="27"/>
  <c r="I27" i="27"/>
  <c r="J27" i="27"/>
  <c r="K27" i="27"/>
  <c r="H28" i="27"/>
  <c r="I28" i="27"/>
  <c r="J28" i="27"/>
  <c r="K28" i="27"/>
  <c r="H29" i="27"/>
  <c r="I29" i="27"/>
  <c r="J29" i="27"/>
  <c r="K29" i="27"/>
  <c r="H30" i="27"/>
  <c r="I30" i="27"/>
  <c r="J30" i="27"/>
  <c r="K30" i="27"/>
  <c r="G30" i="27"/>
  <c r="G29" i="27"/>
  <c r="G28" i="27"/>
  <c r="G27" i="27"/>
  <c r="M33" i="27"/>
  <c r="N33" i="27"/>
  <c r="O33" i="27"/>
  <c r="P33" i="27"/>
  <c r="Q33" i="27"/>
  <c r="R33" i="27"/>
  <c r="S33" i="27"/>
  <c r="T33" i="27"/>
  <c r="U33" i="27"/>
  <c r="V33" i="27"/>
  <c r="W33" i="27"/>
  <c r="X33" i="27"/>
  <c r="Y33" i="27"/>
  <c r="Z33" i="27"/>
  <c r="AA33" i="27"/>
  <c r="AB33" i="27"/>
  <c r="AC33" i="27"/>
  <c r="AD33" i="27"/>
  <c r="AE33" i="27"/>
  <c r="AF33" i="27"/>
  <c r="AG33" i="27"/>
  <c r="AH33" i="27"/>
  <c r="AI33" i="27"/>
  <c r="AJ33" i="27"/>
  <c r="AK33" i="27"/>
  <c r="AL33" i="27"/>
  <c r="AM33" i="27"/>
  <c r="AN33" i="27"/>
  <c r="AO33" i="27"/>
  <c r="AP33" i="27"/>
  <c r="AQ33" i="27"/>
  <c r="AR33" i="27"/>
  <c r="AS33" i="27"/>
  <c r="AT33" i="27"/>
  <c r="AU33" i="27"/>
  <c r="AV33" i="27"/>
  <c r="AW33" i="27"/>
  <c r="AX33" i="27"/>
  <c r="AY33" i="27"/>
  <c r="AZ33" i="27"/>
  <c r="BA33" i="27"/>
  <c r="BB33" i="27"/>
  <c r="BC33" i="27"/>
  <c r="C43" i="27"/>
  <c r="C44" i="27"/>
  <c r="J63" i="27"/>
  <c r="I63" i="27" s="1"/>
  <c r="H63" i="27" s="1"/>
  <c r="G63" i="27" s="1"/>
  <c r="F63" i="27" s="1"/>
  <c r="E63" i="27" s="1"/>
  <c r="BL63" i="27"/>
  <c r="E60" i="27"/>
  <c r="E49" i="27" s="1"/>
  <c r="E41" i="27" s="1"/>
  <c r="F59" i="27"/>
  <c r="BK52" i="27"/>
  <c r="BK44" i="27" s="1"/>
  <c r="BN4" i="33" s="1"/>
  <c r="BJ52" i="27"/>
  <c r="BJ44" i="27" s="1"/>
  <c r="BM4" i="33" s="1"/>
  <c r="BI52" i="27"/>
  <c r="BI44" i="27" s="1"/>
  <c r="BL4" i="33" s="1"/>
  <c r="BH52" i="27"/>
  <c r="BH44" i="27" s="1"/>
  <c r="BK4" i="33" s="1"/>
  <c r="BG52" i="27"/>
  <c r="BG44" i="27" s="1"/>
  <c r="BJ4" i="33" s="1"/>
  <c r="BF52" i="27"/>
  <c r="BF44" i="27" s="1"/>
  <c r="BI4" i="33" s="1"/>
  <c r="BE52" i="27"/>
  <c r="BE44" i="27" s="1"/>
  <c r="BH4" i="33" s="1"/>
  <c r="BD52" i="27"/>
  <c r="BD44" i="27" s="1"/>
  <c r="BG4" i="33" s="1"/>
  <c r="BC52" i="27"/>
  <c r="BC44" i="27" s="1"/>
  <c r="BF4" i="33" s="1"/>
  <c r="BB52" i="27"/>
  <c r="BB44" i="27" s="1"/>
  <c r="BE4" i="33" s="1"/>
  <c r="BA52" i="27"/>
  <c r="BA44" i="27" s="1"/>
  <c r="BD4" i="33" s="1"/>
  <c r="AZ52" i="27"/>
  <c r="AZ44" i="27" s="1"/>
  <c r="BC4" i="33" s="1"/>
  <c r="AY52" i="27"/>
  <c r="AY44" i="27" s="1"/>
  <c r="BB4" i="33" s="1"/>
  <c r="AX52" i="27"/>
  <c r="AX44" i="27" s="1"/>
  <c r="BA4" i="33" s="1"/>
  <c r="AW52" i="27"/>
  <c r="AW44" i="27" s="1"/>
  <c r="AZ4" i="33" s="1"/>
  <c r="AV52" i="27"/>
  <c r="AV44" i="27" s="1"/>
  <c r="AY4" i="33" s="1"/>
  <c r="AU52" i="27"/>
  <c r="AU44" i="27" s="1"/>
  <c r="AX4" i="33" s="1"/>
  <c r="AT52" i="27"/>
  <c r="AT44" i="27" s="1"/>
  <c r="AW4" i="33" s="1"/>
  <c r="AS52" i="27"/>
  <c r="AS44" i="27" s="1"/>
  <c r="AV4" i="33" s="1"/>
  <c r="AR52" i="27"/>
  <c r="AR44" i="27" s="1"/>
  <c r="AU4" i="33" s="1"/>
  <c r="AQ52" i="27"/>
  <c r="AQ44" i="27" s="1"/>
  <c r="AT4" i="33" s="1"/>
  <c r="AP52" i="27"/>
  <c r="AP44" i="27" s="1"/>
  <c r="AS4" i="33" s="1"/>
  <c r="AO52" i="27"/>
  <c r="AO44" i="27" s="1"/>
  <c r="AR4" i="33" s="1"/>
  <c r="AN52" i="27"/>
  <c r="AN44" i="27" s="1"/>
  <c r="AQ4" i="33" s="1"/>
  <c r="AM52" i="27"/>
  <c r="AM44" i="27" s="1"/>
  <c r="AP4" i="33" s="1"/>
  <c r="AL52" i="27"/>
  <c r="AL44" i="27" s="1"/>
  <c r="AO4" i="33" s="1"/>
  <c r="AK52" i="27"/>
  <c r="AK44" i="27" s="1"/>
  <c r="AN4" i="33" s="1"/>
  <c r="AJ52" i="27"/>
  <c r="AJ44" i="27" s="1"/>
  <c r="AM4" i="33" s="1"/>
  <c r="AI52" i="27"/>
  <c r="AI44" i="27" s="1"/>
  <c r="AL4" i="33" s="1"/>
  <c r="AH52" i="27"/>
  <c r="AH44" i="27" s="1"/>
  <c r="AK4" i="33" s="1"/>
  <c r="AG52" i="27"/>
  <c r="AG44" i="27" s="1"/>
  <c r="AJ4" i="33" s="1"/>
  <c r="AF52" i="27"/>
  <c r="AF44" i="27" s="1"/>
  <c r="AI4" i="33" s="1"/>
  <c r="AE52" i="27"/>
  <c r="AE44" i="27" s="1"/>
  <c r="AH4" i="33" s="1"/>
  <c r="AD52" i="27"/>
  <c r="AD44" i="27" s="1"/>
  <c r="AG4" i="33" s="1"/>
  <c r="AC52" i="27"/>
  <c r="AC44" i="27" s="1"/>
  <c r="AF4" i="33" s="1"/>
  <c r="AB52" i="27"/>
  <c r="AB44" i="27" s="1"/>
  <c r="AE4" i="33" s="1"/>
  <c r="AA52" i="27"/>
  <c r="AA44" i="27" s="1"/>
  <c r="AD4" i="33" s="1"/>
  <c r="Z52" i="27"/>
  <c r="Z44" i="27" s="1"/>
  <c r="AC4" i="33" s="1"/>
  <c r="Y52" i="27"/>
  <c r="Y44" i="27" s="1"/>
  <c r="AB4" i="33" s="1"/>
  <c r="X52" i="27"/>
  <c r="X44" i="27" s="1"/>
  <c r="AA4" i="33" s="1"/>
  <c r="W52" i="27"/>
  <c r="W44" i="27" s="1"/>
  <c r="Z4" i="33" s="1"/>
  <c r="V52" i="27"/>
  <c r="V44" i="27" s="1"/>
  <c r="Y4" i="33" s="1"/>
  <c r="U52" i="27"/>
  <c r="U44" i="27" s="1"/>
  <c r="X4" i="33" s="1"/>
  <c r="T52" i="27"/>
  <c r="T44" i="27" s="1"/>
  <c r="W4" i="33" s="1"/>
  <c r="S52" i="27"/>
  <c r="S44" i="27" s="1"/>
  <c r="V4" i="33" s="1"/>
  <c r="R52" i="27"/>
  <c r="R44" i="27" s="1"/>
  <c r="U4" i="33" s="1"/>
  <c r="Q52" i="27"/>
  <c r="Q44" i="27" s="1"/>
  <c r="T4" i="33" s="1"/>
  <c r="P52" i="27"/>
  <c r="P44" i="27" s="1"/>
  <c r="S4" i="33" s="1"/>
  <c r="O52" i="27"/>
  <c r="O44" i="27" s="1"/>
  <c r="R4" i="33" s="1"/>
  <c r="N52" i="27"/>
  <c r="N44" i="27" s="1"/>
  <c r="Q4" i="33" s="1"/>
  <c r="M52" i="27"/>
  <c r="M44" i="27" s="1"/>
  <c r="P4" i="33" s="1"/>
  <c r="L52" i="27"/>
  <c r="L44" i="27" s="1"/>
  <c r="O4" i="33" s="1"/>
  <c r="K52" i="27"/>
  <c r="K44" i="27" s="1"/>
  <c r="N4" i="33" s="1"/>
  <c r="E50" i="27"/>
  <c r="C50" i="27"/>
  <c r="C49" i="27"/>
  <c r="E48" i="27"/>
  <c r="E40" i="27" s="1"/>
  <c r="C48" i="27"/>
  <c r="L33" i="27"/>
  <c r="K33" i="27"/>
  <c r="J33" i="27"/>
  <c r="I33" i="27"/>
  <c r="H33" i="27"/>
  <c r="G33" i="27"/>
  <c r="F33" i="27"/>
  <c r="I82" i="26"/>
  <c r="J82" i="26" s="1"/>
  <c r="I81" i="26"/>
  <c r="I80" i="26"/>
  <c r="I79" i="26"/>
  <c r="I78" i="26"/>
  <c r="I77" i="26"/>
  <c r="I76" i="26"/>
  <c r="I75" i="26"/>
  <c r="I74" i="26"/>
  <c r="I73" i="26"/>
  <c r="I72" i="26"/>
  <c r="I71" i="26"/>
  <c r="I70" i="26"/>
  <c r="I69" i="26"/>
  <c r="I68" i="26"/>
  <c r="I67" i="26"/>
  <c r="I66" i="26"/>
  <c r="I65" i="26"/>
  <c r="I64" i="26"/>
  <c r="I63" i="26"/>
  <c r="I62" i="26"/>
  <c r="I61" i="26"/>
  <c r="I60" i="26"/>
  <c r="I59" i="26"/>
  <c r="I58" i="26"/>
  <c r="I57" i="26"/>
  <c r="I56" i="26"/>
  <c r="I55" i="26"/>
  <c r="I54" i="26"/>
  <c r="I53" i="26"/>
  <c r="I52" i="26"/>
  <c r="I51" i="26"/>
  <c r="I50" i="26"/>
  <c r="I49" i="26"/>
  <c r="I48" i="26"/>
  <c r="I47" i="26"/>
  <c r="I46" i="26"/>
  <c r="I45" i="26"/>
  <c r="I44" i="26"/>
  <c r="I43" i="26"/>
  <c r="I42" i="26"/>
  <c r="I41" i="26"/>
  <c r="I40" i="26"/>
  <c r="I39" i="26"/>
  <c r="I38" i="26"/>
  <c r="I37" i="26"/>
  <c r="I36" i="26"/>
  <c r="I35" i="26"/>
  <c r="I34" i="26"/>
  <c r="I33" i="26"/>
  <c r="I32" i="26"/>
  <c r="I31" i="26"/>
  <c r="I30" i="26"/>
  <c r="A4" i="26"/>
  <c r="N292" i="25"/>
  <c r="N291" i="25"/>
  <c r="N290" i="25"/>
  <c r="N289" i="25"/>
  <c r="N288" i="25"/>
  <c r="N287" i="25"/>
  <c r="N286" i="25"/>
  <c r="N285" i="25"/>
  <c r="N284" i="25"/>
  <c r="N283" i="25"/>
  <c r="N282" i="25"/>
  <c r="N281" i="25"/>
  <c r="N280" i="25"/>
  <c r="N279" i="25"/>
  <c r="N278" i="25"/>
  <c r="N277" i="25"/>
  <c r="N276" i="25"/>
  <c r="N275" i="25"/>
  <c r="N274" i="25"/>
  <c r="N273" i="25"/>
  <c r="N272" i="25"/>
  <c r="BJ255" i="25"/>
  <c r="BI255" i="25"/>
  <c r="BH255" i="25"/>
  <c r="BG255" i="25"/>
  <c r="BF255" i="25"/>
  <c r="BE255" i="25"/>
  <c r="BD255" i="25"/>
  <c r="BC255" i="25"/>
  <c r="BJ254" i="25"/>
  <c r="BI254" i="25"/>
  <c r="BH254" i="25"/>
  <c r="BG254" i="25"/>
  <c r="BF254" i="25"/>
  <c r="BE254" i="25"/>
  <c r="BD254" i="25"/>
  <c r="BC254" i="25"/>
  <c r="BJ240" i="25"/>
  <c r="BJ205" i="25" s="1"/>
  <c r="BI240" i="25"/>
  <c r="BI236" i="25" s="1"/>
  <c r="BH240" i="25"/>
  <c r="BG240" i="25"/>
  <c r="BG205" i="25" s="1"/>
  <c r="BF240" i="25"/>
  <c r="BF225" i="25" s="1"/>
  <c r="BE240" i="25"/>
  <c r="BE225" i="25" s="1"/>
  <c r="BD240" i="25"/>
  <c r="BD225" i="25" s="1"/>
  <c r="BC240" i="25"/>
  <c r="BC225" i="25" s="1"/>
  <c r="BB240" i="25"/>
  <c r="BB225" i="25" s="1"/>
  <c r="BA240" i="25"/>
  <c r="BA225" i="25" s="1"/>
  <c r="AZ240" i="25"/>
  <c r="AY240" i="25"/>
  <c r="AX240" i="25"/>
  <c r="AW240" i="25"/>
  <c r="AV240" i="25"/>
  <c r="AU240" i="25"/>
  <c r="AU236" i="25" s="1"/>
  <c r="AT240" i="25"/>
  <c r="AT236" i="25" s="1"/>
  <c r="AS240" i="25"/>
  <c r="AS225" i="25" s="1"/>
  <c r="AR240" i="25"/>
  <c r="AQ240" i="25"/>
  <c r="AP240" i="25"/>
  <c r="AO240" i="25"/>
  <c r="AN240" i="25"/>
  <c r="AN236" i="25" s="1"/>
  <c r="AM240" i="25"/>
  <c r="AM236" i="25" s="1"/>
  <c r="AL240" i="25"/>
  <c r="AL225" i="25" s="1"/>
  <c r="AK240" i="25"/>
  <c r="AK225" i="25" s="1"/>
  <c r="AJ240" i="25"/>
  <c r="AI240" i="25"/>
  <c r="AI193" i="25" s="1"/>
  <c r="AH240" i="25"/>
  <c r="AH225" i="25" s="1"/>
  <c r="AG240" i="25"/>
  <c r="AG225" i="25" s="1"/>
  <c r="AF240" i="25"/>
  <c r="AE240" i="25"/>
  <c r="AE236" i="25" s="1"/>
  <c r="AD240" i="25"/>
  <c r="AC240" i="25"/>
  <c r="AC35" i="25" s="1"/>
  <c r="AB240" i="25"/>
  <c r="AA240" i="25"/>
  <c r="Z240" i="25"/>
  <c r="Y240" i="25"/>
  <c r="X240" i="25"/>
  <c r="W240" i="25"/>
  <c r="W236" i="25" s="1"/>
  <c r="V240" i="25"/>
  <c r="V225" i="25" s="1"/>
  <c r="U240" i="25"/>
  <c r="U236" i="25" s="1"/>
  <c r="T240" i="25"/>
  <c r="S240" i="25"/>
  <c r="S236" i="25" s="1"/>
  <c r="R240" i="25"/>
  <c r="R225" i="25" s="1"/>
  <c r="Q240" i="25"/>
  <c r="Q225" i="25" s="1"/>
  <c r="P240" i="25"/>
  <c r="P225" i="25" s="1"/>
  <c r="O240" i="25"/>
  <c r="O236" i="25" s="1"/>
  <c r="N240" i="25"/>
  <c r="N35" i="25" s="1"/>
  <c r="BJ239" i="25"/>
  <c r="BJ230" i="25" s="1"/>
  <c r="BI239" i="25"/>
  <c r="BI230" i="25" s="1"/>
  <c r="BH239" i="25"/>
  <c r="BG239" i="25"/>
  <c r="BF239" i="25"/>
  <c r="BE239" i="25"/>
  <c r="BD239" i="25"/>
  <c r="BD32" i="25" s="1"/>
  <c r="BD33" i="25" s="1"/>
  <c r="BC239" i="25"/>
  <c r="BB239" i="25"/>
  <c r="BB230" i="25" s="1"/>
  <c r="BA239" i="25"/>
  <c r="BA230" i="25" s="1"/>
  <c r="AZ239" i="25"/>
  <c r="AY239" i="25"/>
  <c r="AX239" i="25"/>
  <c r="AW239" i="25"/>
  <c r="AW230" i="25" s="1"/>
  <c r="AV239" i="25"/>
  <c r="AV230" i="25" s="1"/>
  <c r="AU239" i="25"/>
  <c r="AT239" i="25"/>
  <c r="AT230" i="25" s="1"/>
  <c r="AS239" i="25"/>
  <c r="AS230" i="25" s="1"/>
  <c r="AR239" i="25"/>
  <c r="AQ239" i="25"/>
  <c r="AP239" i="25"/>
  <c r="AP230" i="25" s="1"/>
  <c r="AO239" i="25"/>
  <c r="AN239" i="25"/>
  <c r="AN204" i="25" s="1"/>
  <c r="AM239" i="25"/>
  <c r="AM230" i="25" s="1"/>
  <c r="AL239" i="25"/>
  <c r="AL204" i="25" s="1"/>
  <c r="AK239" i="25"/>
  <c r="AK204" i="25" s="1"/>
  <c r="AJ239" i="25"/>
  <c r="AI239" i="25"/>
  <c r="AH239" i="25"/>
  <c r="AG239" i="25"/>
  <c r="AF239" i="25"/>
  <c r="AF204" i="25" s="1"/>
  <c r="AE239" i="25"/>
  <c r="AD239" i="25"/>
  <c r="AD230" i="25" s="1"/>
  <c r="AC239" i="25"/>
  <c r="AC230" i="25" s="1"/>
  <c r="AB239" i="25"/>
  <c r="AA239" i="25"/>
  <c r="Z239" i="25"/>
  <c r="Z230" i="25" s="1"/>
  <c r="Y239" i="25"/>
  <c r="Y241" i="25" s="1"/>
  <c r="X239" i="25"/>
  <c r="X192" i="25" s="1"/>
  <c r="W239" i="25"/>
  <c r="V239" i="25"/>
  <c r="V230" i="25" s="1"/>
  <c r="U239" i="25"/>
  <c r="T239" i="25"/>
  <c r="S239" i="25"/>
  <c r="R239" i="25"/>
  <c r="Q239" i="25"/>
  <c r="P239" i="25"/>
  <c r="P204" i="25" s="1"/>
  <c r="O239" i="25"/>
  <c r="N239" i="25"/>
  <c r="N204" i="25" s="1"/>
  <c r="M204" i="25" s="1"/>
  <c r="BF236" i="25"/>
  <c r="BE236" i="25"/>
  <c r="AY236" i="25"/>
  <c r="AX236" i="25"/>
  <c r="AW236" i="25"/>
  <c r="AV236" i="25"/>
  <c r="AQ236" i="25"/>
  <c r="AP236" i="25"/>
  <c r="AO236" i="25"/>
  <c r="AH236" i="25"/>
  <c r="AF236" i="25"/>
  <c r="AA236" i="25"/>
  <c r="Z236" i="25"/>
  <c r="Y236" i="25"/>
  <c r="X236" i="25"/>
  <c r="BK233" i="25" a="1"/>
  <c r="BK233" i="25" s="1"/>
  <c r="BH230" i="25"/>
  <c r="BF230" i="25"/>
  <c r="BE230" i="25"/>
  <c r="AZ230" i="25"/>
  <c r="AX230" i="25"/>
  <c r="AO230" i="25"/>
  <c r="AN230" i="25"/>
  <c r="AL230" i="25"/>
  <c r="AK230" i="25"/>
  <c r="AJ230" i="25"/>
  <c r="AH230" i="25"/>
  <c r="AG230" i="25"/>
  <c r="U230" i="25"/>
  <c r="T230" i="25"/>
  <c r="R230" i="25"/>
  <c r="Q230" i="25"/>
  <c r="BK227" i="25" a="1"/>
  <c r="BK227" i="25" s="1"/>
  <c r="BI225" i="25"/>
  <c r="BG225" i="25"/>
  <c r="AY225" i="25"/>
  <c r="AX225" i="25"/>
  <c r="AW225" i="25"/>
  <c r="AV225" i="25"/>
  <c r="AQ225" i="25"/>
  <c r="AP225" i="25"/>
  <c r="AO225" i="25"/>
  <c r="AN225" i="25"/>
  <c r="AF225" i="25"/>
  <c r="AA225" i="25"/>
  <c r="Z225" i="25"/>
  <c r="Y225" i="25"/>
  <c r="X225" i="25"/>
  <c r="S225" i="25"/>
  <c r="BK220" i="25" a="1"/>
  <c r="BK220" i="25" s="1"/>
  <c r="BK176" i="25" s="1"/>
  <c r="BK177" i="25" s="1"/>
  <c r="BJ209" i="25"/>
  <c r="BI209" i="25"/>
  <c r="BH209" i="25"/>
  <c r="BG209" i="25"/>
  <c r="BF209" i="25"/>
  <c r="BE209" i="25"/>
  <c r="BE210" i="25" s="1"/>
  <c r="BD209" i="25"/>
  <c r="BC209" i="25"/>
  <c r="BB209" i="25"/>
  <c r="BA209" i="25"/>
  <c r="AZ209" i="25"/>
  <c r="AY209" i="25"/>
  <c r="AX209" i="25"/>
  <c r="AW209" i="25"/>
  <c r="AV209" i="25"/>
  <c r="AU209" i="25"/>
  <c r="AT209" i="25"/>
  <c r="AS209" i="25"/>
  <c r="AR209" i="25"/>
  <c r="AQ209" i="25"/>
  <c r="AP209" i="25"/>
  <c r="AO209" i="25"/>
  <c r="AN209" i="25"/>
  <c r="AM209" i="25"/>
  <c r="AL209" i="25"/>
  <c r="AK209" i="25"/>
  <c r="AJ209" i="25"/>
  <c r="AI209" i="25"/>
  <c r="AI217" i="25" s="1"/>
  <c r="AH209" i="25"/>
  <c r="AG209" i="25"/>
  <c r="AF209" i="25"/>
  <c r="AE209" i="25"/>
  <c r="AD209" i="25"/>
  <c r="AC209" i="25"/>
  <c r="AB209" i="25"/>
  <c r="AA209" i="25"/>
  <c r="Z209" i="25"/>
  <c r="Y209" i="25"/>
  <c r="X209" i="25"/>
  <c r="W209" i="25"/>
  <c r="V209" i="25"/>
  <c r="U209" i="25"/>
  <c r="T209" i="25"/>
  <c r="S209" i="25"/>
  <c r="S217" i="25" s="1"/>
  <c r="R209" i="25"/>
  <c r="Q209" i="25"/>
  <c r="P209" i="25"/>
  <c r="O209" i="25"/>
  <c r="N209" i="25"/>
  <c r="BJ208" i="25"/>
  <c r="BI208" i="25"/>
  <c r="BH208" i="25"/>
  <c r="BG208" i="25"/>
  <c r="BF208" i="25"/>
  <c r="BE208" i="25"/>
  <c r="BD208" i="25"/>
  <c r="BC208" i="25"/>
  <c r="BC210" i="25" s="1"/>
  <c r="BB208" i="25"/>
  <c r="BB216" i="25" s="1"/>
  <c r="BA208" i="25"/>
  <c r="AZ208" i="25"/>
  <c r="AY208" i="25"/>
  <c r="AX208" i="25"/>
  <c r="AW208" i="25"/>
  <c r="AV208" i="25"/>
  <c r="AU208" i="25"/>
  <c r="AU210" i="25" s="1"/>
  <c r="AT208" i="25"/>
  <c r="AT210" i="25" s="1"/>
  <c r="AS208" i="25"/>
  <c r="AR208" i="25"/>
  <c r="AQ208" i="25"/>
  <c r="AP208" i="25"/>
  <c r="AO208" i="25"/>
  <c r="AN208" i="25"/>
  <c r="AM208" i="25"/>
  <c r="AM210" i="25" s="1"/>
  <c r="AL208" i="25"/>
  <c r="AL216" i="25" s="1"/>
  <c r="AK208" i="25"/>
  <c r="AJ208" i="25"/>
  <c r="AI208" i="25"/>
  <c r="AH208" i="25"/>
  <c r="AH216" i="25" s="1"/>
  <c r="AG208" i="25"/>
  <c r="AF208" i="25"/>
  <c r="AE208" i="25"/>
  <c r="AE210" i="25" s="1"/>
  <c r="AD208" i="25"/>
  <c r="AC208" i="25"/>
  <c r="AB208" i="25"/>
  <c r="AA208" i="25"/>
  <c r="Z208" i="25"/>
  <c r="Z216" i="25" s="1"/>
  <c r="Y208" i="25"/>
  <c r="X208" i="25"/>
  <c r="W208" i="25"/>
  <c r="W210" i="25" s="1"/>
  <c r="V208" i="25"/>
  <c r="V210" i="25" s="1"/>
  <c r="U208" i="25"/>
  <c r="T208" i="25"/>
  <c r="S208" i="25"/>
  <c r="R208" i="25"/>
  <c r="R216" i="25" s="1"/>
  <c r="Q208" i="25"/>
  <c r="P208" i="25"/>
  <c r="O208" i="25"/>
  <c r="O210" i="25" s="1"/>
  <c r="N208" i="25"/>
  <c r="N210" i="25" s="1"/>
  <c r="BI205" i="25"/>
  <c r="BF205" i="25"/>
  <c r="BE205" i="25"/>
  <c r="BD205" i="25"/>
  <c r="BC205" i="25"/>
  <c r="BA205" i="25"/>
  <c r="AZ205" i="25"/>
  <c r="AY205" i="25"/>
  <c r="AX205" i="25"/>
  <c r="AW205" i="25"/>
  <c r="AV205" i="25"/>
  <c r="AU205" i="25"/>
  <c r="AS205" i="25"/>
  <c r="AR205" i="25"/>
  <c r="AQ205" i="25"/>
  <c r="AP205" i="25"/>
  <c r="AO205" i="25"/>
  <c r="AN205" i="25"/>
  <c r="AK205" i="25"/>
  <c r="AI205" i="25"/>
  <c r="AH205" i="25"/>
  <c r="AG205" i="25"/>
  <c r="AF205" i="25"/>
  <c r="AD205" i="25"/>
  <c r="AC205" i="25"/>
  <c r="AA205" i="25"/>
  <c r="Z205" i="25"/>
  <c r="Y205" i="25"/>
  <c r="X205" i="25"/>
  <c r="U205" i="25"/>
  <c r="R205" i="25"/>
  <c r="Q205" i="25"/>
  <c r="P205" i="25"/>
  <c r="BJ204" i="25"/>
  <c r="BH204" i="25"/>
  <c r="BG204" i="25"/>
  <c r="BF204" i="25"/>
  <c r="BE204" i="25"/>
  <c r="BB204" i="25"/>
  <c r="BA204" i="25"/>
  <c r="AZ204" i="25"/>
  <c r="AY204" i="25"/>
  <c r="AX204" i="25"/>
  <c r="AW204" i="25"/>
  <c r="AS204" i="25"/>
  <c r="AR204" i="25"/>
  <c r="AQ204" i="25"/>
  <c r="AP204" i="25"/>
  <c r="AO204" i="25"/>
  <c r="AJ204" i="25"/>
  <c r="AI204" i="25"/>
  <c r="AH204" i="25"/>
  <c r="AG204" i="25"/>
  <c r="AA204" i="25"/>
  <c r="Z204" i="25"/>
  <c r="Y204" i="25"/>
  <c r="T204" i="25"/>
  <c r="S204" i="25"/>
  <c r="R204" i="25"/>
  <c r="Q204" i="25"/>
  <c r="BJ198" i="25"/>
  <c r="BI198" i="25"/>
  <c r="BH198" i="25"/>
  <c r="BG198" i="25"/>
  <c r="BF198" i="25"/>
  <c r="BE198" i="25"/>
  <c r="BD198" i="25"/>
  <c r="BC198" i="25"/>
  <c r="BB198" i="25"/>
  <c r="BA198" i="25"/>
  <c r="AZ198" i="25"/>
  <c r="AY198" i="25"/>
  <c r="AX198" i="25"/>
  <c r="AW198" i="25"/>
  <c r="AV198" i="25"/>
  <c r="AU198" i="25"/>
  <c r="AT198" i="25"/>
  <c r="AS198" i="25"/>
  <c r="AR198" i="25"/>
  <c r="AQ198" i="25"/>
  <c r="AP198" i="25"/>
  <c r="AO198" i="25"/>
  <c r="AN198" i="25"/>
  <c r="AM198" i="25"/>
  <c r="AL198" i="25"/>
  <c r="AK198" i="25"/>
  <c r="AJ198" i="25"/>
  <c r="AI198" i="25"/>
  <c r="AH198" i="25"/>
  <c r="AG198" i="25"/>
  <c r="AF198" i="25"/>
  <c r="AE198" i="25"/>
  <c r="AD198" i="25"/>
  <c r="AC198" i="25"/>
  <c r="AB198" i="25"/>
  <c r="AA198" i="25"/>
  <c r="Z198" i="25"/>
  <c r="Y198" i="25"/>
  <c r="X198" i="25"/>
  <c r="W198" i="25"/>
  <c r="V198" i="25"/>
  <c r="U198" i="25"/>
  <c r="T198" i="25"/>
  <c r="S198" i="25"/>
  <c r="R198" i="25"/>
  <c r="Q198" i="25"/>
  <c r="P198" i="25"/>
  <c r="O198" i="25"/>
  <c r="N198" i="25"/>
  <c r="BK196" i="25" a="1"/>
  <c r="BK196" i="25" s="1"/>
  <c r="BI193" i="25"/>
  <c r="BH193" i="25"/>
  <c r="BG193" i="25"/>
  <c r="BF193" i="25"/>
  <c r="BE193" i="25"/>
  <c r="BD193" i="25"/>
  <c r="BC193" i="25"/>
  <c r="BA193" i="25"/>
  <c r="AZ193" i="25"/>
  <c r="AY193" i="25"/>
  <c r="AX193" i="25"/>
  <c r="AW193" i="25"/>
  <c r="AV193" i="25"/>
  <c r="AU193" i="25"/>
  <c r="AS193" i="25"/>
  <c r="AR193" i="25"/>
  <c r="AQ193" i="25"/>
  <c r="AP193" i="25"/>
  <c r="AO193" i="25"/>
  <c r="AN193" i="25"/>
  <c r="AM193" i="25"/>
  <c r="AK193" i="25"/>
  <c r="AJ193" i="25"/>
  <c r="AH193" i="25"/>
  <c r="AG193" i="25"/>
  <c r="AF193" i="25"/>
  <c r="AC193" i="25"/>
  <c r="AA193" i="25"/>
  <c r="Z193" i="25"/>
  <c r="Y193" i="25"/>
  <c r="X193" i="25"/>
  <c r="U193" i="25"/>
  <c r="S193" i="25"/>
  <c r="R193" i="25"/>
  <c r="Q193" i="25"/>
  <c r="P193" i="25"/>
  <c r="BJ192" i="25"/>
  <c r="BI192" i="25"/>
  <c r="BH192" i="25"/>
  <c r="BG192" i="25"/>
  <c r="BF192" i="25"/>
  <c r="BE192" i="25"/>
  <c r="BB192" i="25"/>
  <c r="AZ192" i="25"/>
  <c r="AY192" i="25"/>
  <c r="AX192" i="25"/>
  <c r="AW192" i="25"/>
  <c r="AT192" i="25"/>
  <c r="AS192" i="25"/>
  <c r="AQ192" i="25"/>
  <c r="AP192" i="25"/>
  <c r="AO192" i="25"/>
  <c r="AK192" i="25"/>
  <c r="AJ192" i="25"/>
  <c r="AI192" i="25"/>
  <c r="AH192" i="25"/>
  <c r="AG192" i="25"/>
  <c r="AB192" i="25"/>
  <c r="AA192" i="25"/>
  <c r="Z192" i="25"/>
  <c r="Y192" i="25"/>
  <c r="T192" i="25"/>
  <c r="S192" i="25"/>
  <c r="R192" i="25"/>
  <c r="Q192" i="25"/>
  <c r="BJ186" i="25"/>
  <c r="BI186" i="25"/>
  <c r="BH186" i="25"/>
  <c r="BG186" i="25"/>
  <c r="BF186" i="25"/>
  <c r="BE186" i="25"/>
  <c r="BD186" i="25"/>
  <c r="BC186" i="25"/>
  <c r="BB186" i="25"/>
  <c r="BA186" i="25"/>
  <c r="AZ186" i="25"/>
  <c r="AY186" i="25"/>
  <c r="AX186" i="25"/>
  <c r="AW186" i="25"/>
  <c r="AV186" i="25"/>
  <c r="AU186" i="25"/>
  <c r="AT186" i="25"/>
  <c r="AS186" i="25"/>
  <c r="AR186" i="25"/>
  <c r="AQ186" i="25"/>
  <c r="AP186" i="25"/>
  <c r="AO186" i="25"/>
  <c r="AN186" i="25"/>
  <c r="AM186" i="25"/>
  <c r="AL186" i="25"/>
  <c r="AK186" i="25"/>
  <c r="AJ186" i="25"/>
  <c r="AI186" i="25"/>
  <c r="AH186" i="25"/>
  <c r="AG186" i="25"/>
  <c r="AF186" i="25"/>
  <c r="AE186" i="25"/>
  <c r="AD186" i="25"/>
  <c r="AC186" i="25"/>
  <c r="AB186" i="25"/>
  <c r="AA186" i="25"/>
  <c r="Z186" i="25"/>
  <c r="Y186" i="25"/>
  <c r="X186" i="25"/>
  <c r="W186" i="25"/>
  <c r="V186" i="25"/>
  <c r="U186" i="25"/>
  <c r="T186" i="25"/>
  <c r="S186" i="25"/>
  <c r="R186" i="25"/>
  <c r="Q186" i="25"/>
  <c r="P186" i="25"/>
  <c r="O186" i="25"/>
  <c r="N186" i="25"/>
  <c r="BK184" i="25" a="1"/>
  <c r="BK184" i="25" s="1"/>
  <c r="AV177" i="25"/>
  <c r="AU177" i="25"/>
  <c r="V177" i="25"/>
  <c r="BJ176" i="25"/>
  <c r="BI176" i="25"/>
  <c r="BH176" i="25"/>
  <c r="BH177" i="25" s="1"/>
  <c r="BG176" i="25"/>
  <c r="BG177" i="25" s="1"/>
  <c r="BF176" i="25"/>
  <c r="BF177" i="25" s="1"/>
  <c r="BE176" i="25"/>
  <c r="BD176" i="25"/>
  <c r="BC176" i="25"/>
  <c r="BC177" i="25" s="1"/>
  <c r="BB176" i="25"/>
  <c r="BA176" i="25"/>
  <c r="AZ176" i="25"/>
  <c r="AZ177" i="25" s="1"/>
  <c r="AY176" i="25"/>
  <c r="AY177" i="25" s="1"/>
  <c r="AX176" i="25"/>
  <c r="AX177" i="25" s="1"/>
  <c r="AW176" i="25"/>
  <c r="AW177" i="25" s="1"/>
  <c r="AV176" i="25"/>
  <c r="AU176" i="25"/>
  <c r="AT176" i="25"/>
  <c r="AS176" i="25"/>
  <c r="AR176" i="25"/>
  <c r="AR177" i="25" s="1"/>
  <c r="AQ176" i="25"/>
  <c r="AQ177" i="25" s="1"/>
  <c r="AP176" i="25"/>
  <c r="AP177" i="25" s="1"/>
  <c r="AO176" i="25"/>
  <c r="AN176" i="25"/>
  <c r="AM176" i="25"/>
  <c r="AM177" i="25" s="1"/>
  <c r="AL176" i="25"/>
  <c r="AK176" i="25"/>
  <c r="AJ176" i="25"/>
  <c r="AJ177" i="25" s="1"/>
  <c r="AI176" i="25"/>
  <c r="AI177" i="25" s="1"/>
  <c r="AH176" i="25"/>
  <c r="AH177" i="25" s="1"/>
  <c r="AG176" i="25"/>
  <c r="AG177" i="25" s="1"/>
  <c r="AF176" i="25"/>
  <c r="AE176" i="25"/>
  <c r="AE177" i="25" s="1"/>
  <c r="AD176" i="25"/>
  <c r="AC176" i="25"/>
  <c r="AB176" i="25"/>
  <c r="AB177" i="25" s="1"/>
  <c r="AA176" i="25"/>
  <c r="Z176" i="25"/>
  <c r="Y176" i="25"/>
  <c r="X176" i="25"/>
  <c r="W176" i="25"/>
  <c r="W177" i="25" s="1"/>
  <c r="V176" i="25"/>
  <c r="U176" i="25"/>
  <c r="T176" i="25"/>
  <c r="T177" i="25" s="1"/>
  <c r="S176" i="25"/>
  <c r="S177" i="25" s="1"/>
  <c r="R176" i="25"/>
  <c r="R177" i="25" s="1"/>
  <c r="Q176" i="25"/>
  <c r="P176" i="25"/>
  <c r="O176" i="25"/>
  <c r="O177" i="25" s="1"/>
  <c r="N176" i="25"/>
  <c r="H174" i="25"/>
  <c r="BK169" i="25"/>
  <c r="BJ169" i="25"/>
  <c r="BI169" i="25"/>
  <c r="BH169" i="25"/>
  <c r="BG169" i="25"/>
  <c r="BF169" i="25"/>
  <c r="BE169" i="25"/>
  <c r="BD169" i="25"/>
  <c r="BC169" i="25"/>
  <c r="BB169" i="25"/>
  <c r="BA169" i="25"/>
  <c r="AZ169" i="25"/>
  <c r="AY169" i="25"/>
  <c r="AX169" i="25"/>
  <c r="AW169" i="25"/>
  <c r="AV169" i="25"/>
  <c r="AU169" i="25"/>
  <c r="AT169" i="25"/>
  <c r="AS169" i="25"/>
  <c r="AR169" i="25"/>
  <c r="AQ169" i="25"/>
  <c r="AP169" i="25"/>
  <c r="AO169" i="25"/>
  <c r="AN169" i="25"/>
  <c r="AM169" i="25"/>
  <c r="AL169" i="25"/>
  <c r="AK169" i="25"/>
  <c r="AJ169" i="25"/>
  <c r="AI169" i="25"/>
  <c r="AH169" i="25"/>
  <c r="AG169" i="25"/>
  <c r="AF169" i="25"/>
  <c r="AE169" i="25"/>
  <c r="AD169" i="25"/>
  <c r="AC169" i="25"/>
  <c r="AB169" i="25"/>
  <c r="AA169" i="25"/>
  <c r="Z169" i="25"/>
  <c r="Y169" i="25"/>
  <c r="X169" i="25"/>
  <c r="W169" i="25"/>
  <c r="V169" i="25"/>
  <c r="U169" i="25"/>
  <c r="T169" i="25"/>
  <c r="S169" i="25"/>
  <c r="R169" i="25"/>
  <c r="Q169" i="25"/>
  <c r="P169" i="25"/>
  <c r="O169" i="25"/>
  <c r="N169" i="25"/>
  <c r="M169" i="25"/>
  <c r="L169" i="25"/>
  <c r="K169" i="25"/>
  <c r="J169" i="25"/>
  <c r="I169" i="25"/>
  <c r="H169" i="25"/>
  <c r="G169" i="25"/>
  <c r="F169" i="25"/>
  <c r="E169" i="25"/>
  <c r="D169" i="25"/>
  <c r="BK168" i="25"/>
  <c r="BJ168" i="25"/>
  <c r="BI168" i="25"/>
  <c r="BH168" i="25"/>
  <c r="BH170" i="25" s="1"/>
  <c r="BG168" i="25"/>
  <c r="BG170" i="25" s="1"/>
  <c r="BG178" i="25" s="1"/>
  <c r="BG179" i="25" s="1"/>
  <c r="BH62" i="27" s="1"/>
  <c r="BH51" i="27" s="1"/>
  <c r="BH43" i="27" s="1"/>
  <c r="BF168" i="25"/>
  <c r="BF170" i="25" s="1"/>
  <c r="BF178" i="25" s="1"/>
  <c r="BF179" i="25" s="1"/>
  <c r="BG62" i="27" s="1"/>
  <c r="BG51" i="27" s="1"/>
  <c r="BG43" i="27" s="1"/>
  <c r="BE168" i="25"/>
  <c r="BE170" i="25" s="1"/>
  <c r="BD168" i="25"/>
  <c r="BC168" i="25"/>
  <c r="BB168" i="25"/>
  <c r="BA168" i="25"/>
  <c r="AZ168" i="25"/>
  <c r="AZ170" i="25" s="1"/>
  <c r="AZ178" i="25" s="1"/>
  <c r="AZ179" i="25" s="1"/>
  <c r="BA62" i="27" s="1"/>
  <c r="BA51" i="27" s="1"/>
  <c r="BA43" i="27" s="1"/>
  <c r="AY168" i="25"/>
  <c r="AY170" i="25" s="1"/>
  <c r="AX168" i="25"/>
  <c r="AX170" i="25" s="1"/>
  <c r="AX178" i="25" s="1"/>
  <c r="AX179" i="25" s="1"/>
  <c r="AY62" i="27" s="1"/>
  <c r="AY51" i="27" s="1"/>
  <c r="AY43" i="27" s="1"/>
  <c r="AW168" i="25"/>
  <c r="AW170" i="25" s="1"/>
  <c r="AV168" i="25"/>
  <c r="AU168" i="25"/>
  <c r="AT168" i="25"/>
  <c r="AS168" i="25"/>
  <c r="AR168" i="25"/>
  <c r="AR170" i="25" s="1"/>
  <c r="AQ168" i="25"/>
  <c r="AQ170" i="25" s="1"/>
  <c r="AP168" i="25"/>
  <c r="AP170" i="25" s="1"/>
  <c r="AO168" i="25"/>
  <c r="AO170" i="25" s="1"/>
  <c r="AN168" i="25"/>
  <c r="AM168" i="25"/>
  <c r="AL168" i="25"/>
  <c r="AK168" i="25"/>
  <c r="AJ168" i="25"/>
  <c r="AJ170" i="25" s="1"/>
  <c r="AI168" i="25"/>
  <c r="AI170" i="25" s="1"/>
  <c r="AH168" i="25"/>
  <c r="AH170" i="25" s="1"/>
  <c r="AH178" i="25" s="1"/>
  <c r="AH179" i="25" s="1"/>
  <c r="AI62" i="27" s="1"/>
  <c r="AI51" i="27" s="1"/>
  <c r="AI43" i="27" s="1"/>
  <c r="AG168" i="25"/>
  <c r="AG170" i="25" s="1"/>
  <c r="AF168" i="25"/>
  <c r="AE168" i="25"/>
  <c r="AD168" i="25"/>
  <c r="AC168" i="25"/>
  <c r="AB168" i="25"/>
  <c r="AB170" i="25" s="1"/>
  <c r="AB178" i="25" s="1"/>
  <c r="AB179" i="25" s="1"/>
  <c r="AC62" i="27" s="1"/>
  <c r="AC51" i="27" s="1"/>
  <c r="AC43" i="27" s="1"/>
  <c r="AA168" i="25"/>
  <c r="AA170" i="25" s="1"/>
  <c r="Z168" i="25"/>
  <c r="Z170" i="25" s="1"/>
  <c r="Y168" i="25"/>
  <c r="X168" i="25"/>
  <c r="W168" i="25"/>
  <c r="V168" i="25"/>
  <c r="U168" i="25"/>
  <c r="T168" i="25"/>
  <c r="T170" i="25" s="1"/>
  <c r="S168" i="25"/>
  <c r="S170" i="25" s="1"/>
  <c r="S178" i="25" s="1"/>
  <c r="S179" i="25" s="1"/>
  <c r="T62" i="27" s="1"/>
  <c r="T51" i="27" s="1"/>
  <c r="T43" i="27" s="1"/>
  <c r="R168" i="25"/>
  <c r="R170" i="25" s="1"/>
  <c r="R178" i="25" s="1"/>
  <c r="R179" i="25" s="1"/>
  <c r="S62" i="27" s="1"/>
  <c r="S51" i="27" s="1"/>
  <c r="S43" i="27" s="1"/>
  <c r="Q168" i="25"/>
  <c r="Q170" i="25" s="1"/>
  <c r="P168" i="25"/>
  <c r="O168" i="25"/>
  <c r="N168" i="25"/>
  <c r="M168" i="25"/>
  <c r="L168" i="25"/>
  <c r="L170" i="25" s="1"/>
  <c r="K168" i="25"/>
  <c r="K170" i="25" s="1"/>
  <c r="J168" i="25"/>
  <c r="J170" i="25" s="1"/>
  <c r="I168" i="25"/>
  <c r="I170" i="25" s="1"/>
  <c r="H168" i="25"/>
  <c r="G168" i="25"/>
  <c r="F168" i="25"/>
  <c r="E168" i="25"/>
  <c r="D168" i="25"/>
  <c r="D170" i="25" s="1"/>
  <c r="BK141" i="25"/>
  <c r="BK152" i="25" s="1"/>
  <c r="BK140" i="25"/>
  <c r="BK151" i="25" s="1"/>
  <c r="BK139" i="25"/>
  <c r="BK150" i="25" s="1"/>
  <c r="C139" i="25"/>
  <c r="BK138" i="25"/>
  <c r="BK149" i="25" s="1"/>
  <c r="C138" i="25"/>
  <c r="BK137" i="25"/>
  <c r="BK148" i="25" s="1"/>
  <c r="BK136" i="25"/>
  <c r="BK147" i="25" s="1"/>
  <c r="BJ132" i="25"/>
  <c r="BI132" i="25"/>
  <c r="BH132" i="25"/>
  <c r="BG132" i="25"/>
  <c r="BF132" i="25"/>
  <c r="BE132" i="25"/>
  <c r="BD132" i="25"/>
  <c r="BC132" i="25"/>
  <c r="BB132" i="25"/>
  <c r="BA132" i="25"/>
  <c r="AZ132" i="25"/>
  <c r="AY132" i="25"/>
  <c r="AX132" i="25"/>
  <c r="AW132" i="25"/>
  <c r="AV132" i="25"/>
  <c r="AU132" i="25"/>
  <c r="AT132" i="25"/>
  <c r="AS132" i="25"/>
  <c r="AR132" i="25"/>
  <c r="AQ132" i="25"/>
  <c r="AP132" i="25"/>
  <c r="AO132" i="25"/>
  <c r="AN132" i="25"/>
  <c r="AM132" i="25"/>
  <c r="AL132" i="25"/>
  <c r="AK132" i="25"/>
  <c r="AJ132" i="25"/>
  <c r="AI132" i="25"/>
  <c r="AH132" i="25"/>
  <c r="AG132" i="25"/>
  <c r="AF132" i="25"/>
  <c r="AE132" i="25"/>
  <c r="AD132" i="25"/>
  <c r="AC132" i="25"/>
  <c r="AB132" i="25"/>
  <c r="AA132" i="25"/>
  <c r="Z132" i="25"/>
  <c r="Y132" i="25"/>
  <c r="X132" i="25"/>
  <c r="W132" i="25"/>
  <c r="V132" i="25"/>
  <c r="U132" i="25"/>
  <c r="T132" i="25"/>
  <c r="S132" i="25"/>
  <c r="R132" i="25"/>
  <c r="Q132" i="25"/>
  <c r="P132" i="25"/>
  <c r="O132" i="25"/>
  <c r="N132" i="25"/>
  <c r="M132" i="25"/>
  <c r="L132" i="25"/>
  <c r="K132" i="25"/>
  <c r="J132" i="25"/>
  <c r="I132" i="25"/>
  <c r="H132" i="25"/>
  <c r="G132" i="25"/>
  <c r="F132" i="25"/>
  <c r="E132" i="25"/>
  <c r="D132" i="25"/>
  <c r="BJ131" i="25"/>
  <c r="BI131" i="25"/>
  <c r="BH131" i="25"/>
  <c r="BG131" i="25"/>
  <c r="BF131" i="25"/>
  <c r="BE131" i="25"/>
  <c r="BD131" i="25"/>
  <c r="BC131" i="25"/>
  <c r="BB131" i="25"/>
  <c r="BA131" i="25"/>
  <c r="AZ131" i="25"/>
  <c r="AY131" i="25"/>
  <c r="AX131" i="25"/>
  <c r="AW131" i="25"/>
  <c r="AV131" i="25"/>
  <c r="AU131" i="25"/>
  <c r="AT131" i="25"/>
  <c r="AS131" i="25"/>
  <c r="AR131" i="25"/>
  <c r="AQ131" i="25"/>
  <c r="AP131" i="25"/>
  <c r="AO131" i="25"/>
  <c r="AN131" i="25"/>
  <c r="AM131" i="25"/>
  <c r="AL131" i="25"/>
  <c r="AK131" i="25"/>
  <c r="AJ131" i="25"/>
  <c r="AI131" i="25"/>
  <c r="AH131" i="25"/>
  <c r="AG131" i="25"/>
  <c r="AF131" i="25"/>
  <c r="AE131" i="25"/>
  <c r="AD131" i="25"/>
  <c r="AC131" i="25"/>
  <c r="AB131" i="25"/>
  <c r="AA131" i="25"/>
  <c r="Z131" i="25"/>
  <c r="Y131" i="25"/>
  <c r="X131" i="25"/>
  <c r="W131" i="25"/>
  <c r="V131" i="25"/>
  <c r="U131" i="25"/>
  <c r="T131" i="25"/>
  <c r="S131" i="25"/>
  <c r="R131" i="25"/>
  <c r="Q131" i="25"/>
  <c r="P131" i="25"/>
  <c r="O131" i="25"/>
  <c r="N131" i="25"/>
  <c r="M131" i="25"/>
  <c r="L131" i="25"/>
  <c r="K131" i="25"/>
  <c r="J131" i="25"/>
  <c r="I131" i="25"/>
  <c r="H131" i="25"/>
  <c r="G131" i="25"/>
  <c r="F131" i="25"/>
  <c r="E131" i="25"/>
  <c r="D131" i="25"/>
  <c r="BJ130" i="25"/>
  <c r="BJ223" i="25" s="1"/>
  <c r="BI130" i="25"/>
  <c r="BI223" i="25" s="1"/>
  <c r="BH130" i="25"/>
  <c r="BH223" i="25" s="1"/>
  <c r="BG130" i="25"/>
  <c r="BG223" i="25" s="1"/>
  <c r="BF130" i="25"/>
  <c r="BF223" i="25" s="1"/>
  <c r="BE130" i="25"/>
  <c r="BE223" i="25" s="1"/>
  <c r="BD130" i="25"/>
  <c r="BD223" i="25" s="1"/>
  <c r="BC130" i="25"/>
  <c r="BC223" i="25" s="1"/>
  <c r="BB130" i="25"/>
  <c r="BA130" i="25"/>
  <c r="AZ130" i="25"/>
  <c r="AY130" i="25"/>
  <c r="AX130" i="25"/>
  <c r="AW130" i="25"/>
  <c r="AV130" i="25"/>
  <c r="AU130" i="25"/>
  <c r="AT130" i="25"/>
  <c r="AS130" i="25"/>
  <c r="AR130" i="25"/>
  <c r="AQ130" i="25"/>
  <c r="AP130" i="25"/>
  <c r="AO130" i="25"/>
  <c r="AN130" i="25"/>
  <c r="AM130" i="25"/>
  <c r="AL130" i="25"/>
  <c r="AK130" i="25"/>
  <c r="AJ130" i="25"/>
  <c r="AI130" i="25"/>
  <c r="AH130" i="25"/>
  <c r="AG130" i="25"/>
  <c r="AF130" i="25"/>
  <c r="AE130" i="25"/>
  <c r="AD130" i="25"/>
  <c r="AC130" i="25"/>
  <c r="AB130" i="25"/>
  <c r="AA130" i="25"/>
  <c r="Z130" i="25"/>
  <c r="Y130" i="25"/>
  <c r="X130" i="25"/>
  <c r="W130" i="25"/>
  <c r="V130" i="25"/>
  <c r="U130" i="25"/>
  <c r="T130" i="25"/>
  <c r="S130" i="25"/>
  <c r="R130" i="25"/>
  <c r="Q130" i="25"/>
  <c r="P130" i="25"/>
  <c r="O130" i="25"/>
  <c r="N130" i="25"/>
  <c r="M130" i="25"/>
  <c r="L130" i="25"/>
  <c r="K130" i="25"/>
  <c r="J130" i="25"/>
  <c r="I130" i="25"/>
  <c r="H130" i="25"/>
  <c r="G130" i="25"/>
  <c r="F130" i="25"/>
  <c r="E130" i="25"/>
  <c r="D130" i="25"/>
  <c r="BJ129" i="25"/>
  <c r="BI129" i="25"/>
  <c r="BH129" i="25"/>
  <c r="BG129" i="25"/>
  <c r="BF129" i="25"/>
  <c r="BE129" i="25"/>
  <c r="BD129" i="25"/>
  <c r="BC129" i="25"/>
  <c r="BB129" i="25"/>
  <c r="BA129" i="25"/>
  <c r="AZ129" i="25"/>
  <c r="AY129" i="25"/>
  <c r="AX129" i="25"/>
  <c r="AW129" i="25"/>
  <c r="AV129" i="25"/>
  <c r="AU129" i="25"/>
  <c r="AU199" i="25" s="1"/>
  <c r="AT129" i="25"/>
  <c r="AS129" i="25"/>
  <c r="AR129" i="25"/>
  <c r="AQ129" i="25"/>
  <c r="AP129" i="25"/>
  <c r="AO129" i="25"/>
  <c r="AN129" i="25"/>
  <c r="AM129" i="25"/>
  <c r="AL129" i="25"/>
  <c r="AK129" i="25"/>
  <c r="AJ129" i="25"/>
  <c r="AI129" i="25"/>
  <c r="AH129" i="25"/>
  <c r="AG129" i="25"/>
  <c r="AF129" i="25"/>
  <c r="AE129" i="25"/>
  <c r="AD129" i="25"/>
  <c r="AC129" i="25"/>
  <c r="AB129" i="25"/>
  <c r="AA129" i="25"/>
  <c r="Z129" i="25"/>
  <c r="Y129" i="25"/>
  <c r="X129" i="25"/>
  <c r="W129" i="25"/>
  <c r="V129" i="25"/>
  <c r="U129" i="25"/>
  <c r="T129" i="25"/>
  <c r="S129" i="25"/>
  <c r="R129" i="25"/>
  <c r="Q129" i="25"/>
  <c r="P129" i="25"/>
  <c r="O129" i="25"/>
  <c r="N129" i="25"/>
  <c r="M129" i="25"/>
  <c r="L129" i="25"/>
  <c r="K129" i="25"/>
  <c r="J129" i="25"/>
  <c r="I129" i="25"/>
  <c r="H129" i="25"/>
  <c r="G129" i="25"/>
  <c r="F129" i="25"/>
  <c r="E129" i="25"/>
  <c r="D129" i="25"/>
  <c r="BJ128" i="25"/>
  <c r="BI128" i="25"/>
  <c r="BH128" i="25"/>
  <c r="BG128" i="25"/>
  <c r="BF128" i="25"/>
  <c r="BE128" i="25"/>
  <c r="BD128" i="25"/>
  <c r="BD133" i="25" s="1"/>
  <c r="BC128" i="25"/>
  <c r="BB128" i="25"/>
  <c r="BA128" i="25"/>
  <c r="AZ128" i="25"/>
  <c r="AY128" i="25"/>
  <c r="AX128" i="25"/>
  <c r="AW128" i="25"/>
  <c r="AV128" i="25"/>
  <c r="AU128" i="25"/>
  <c r="AT128" i="25"/>
  <c r="AS128" i="25"/>
  <c r="AR128" i="25"/>
  <c r="AQ128" i="25"/>
  <c r="AP128" i="25"/>
  <c r="AO128" i="25"/>
  <c r="AO188" i="25" s="1"/>
  <c r="AN128" i="25"/>
  <c r="AM128" i="25"/>
  <c r="AL128" i="25"/>
  <c r="AK128" i="25"/>
  <c r="AJ128" i="25"/>
  <c r="AI128" i="25"/>
  <c r="AH128" i="25"/>
  <c r="AG128" i="25"/>
  <c r="AF128" i="25"/>
  <c r="AE128" i="25"/>
  <c r="AD128" i="25"/>
  <c r="AC128" i="25"/>
  <c r="AB128" i="25"/>
  <c r="AA128" i="25"/>
  <c r="Z128" i="25"/>
  <c r="Y128" i="25"/>
  <c r="X128" i="25"/>
  <c r="W128" i="25"/>
  <c r="V128" i="25"/>
  <c r="U128" i="25"/>
  <c r="T128" i="25"/>
  <c r="S128" i="25"/>
  <c r="R128" i="25"/>
  <c r="Q128" i="25"/>
  <c r="P128" i="25"/>
  <c r="O128" i="25"/>
  <c r="N128" i="25"/>
  <c r="M128" i="25"/>
  <c r="L128" i="25"/>
  <c r="K128" i="25"/>
  <c r="J128" i="25"/>
  <c r="I128" i="25"/>
  <c r="H128" i="25"/>
  <c r="G128" i="25"/>
  <c r="F128" i="25"/>
  <c r="E128" i="25"/>
  <c r="D128" i="25"/>
  <c r="BJ125" i="25"/>
  <c r="BI125" i="25"/>
  <c r="BH125" i="25"/>
  <c r="BG125" i="25"/>
  <c r="BF125" i="25"/>
  <c r="BE125" i="25"/>
  <c r="BD125" i="25"/>
  <c r="BC125" i="25"/>
  <c r="BB125" i="25"/>
  <c r="BA125" i="25"/>
  <c r="AZ125" i="25"/>
  <c r="AY125" i="25"/>
  <c r="AX125" i="25"/>
  <c r="AW125" i="25"/>
  <c r="AV125" i="25"/>
  <c r="AU125" i="25"/>
  <c r="AT125" i="25"/>
  <c r="AS125" i="25"/>
  <c r="AR125" i="25"/>
  <c r="AQ125" i="25"/>
  <c r="AP125" i="25"/>
  <c r="AO125" i="25"/>
  <c r="AN125" i="25"/>
  <c r="AM125" i="25"/>
  <c r="AL125" i="25"/>
  <c r="AK125" i="25"/>
  <c r="AJ125" i="25"/>
  <c r="AI125" i="25"/>
  <c r="AH125" i="25"/>
  <c r="AG125" i="25"/>
  <c r="AF125" i="25"/>
  <c r="AE125" i="25"/>
  <c r="AD125" i="25"/>
  <c r="AC125" i="25"/>
  <c r="AB125" i="25"/>
  <c r="AA125" i="25"/>
  <c r="Z125" i="25"/>
  <c r="Y125" i="25"/>
  <c r="X125" i="25"/>
  <c r="W125" i="25"/>
  <c r="V125" i="25"/>
  <c r="U125" i="25"/>
  <c r="T125" i="25"/>
  <c r="S125" i="25"/>
  <c r="R125" i="25"/>
  <c r="Q125" i="25"/>
  <c r="P125" i="25"/>
  <c r="O125" i="25"/>
  <c r="N125" i="25"/>
  <c r="M125" i="25"/>
  <c r="L125" i="25"/>
  <c r="K125" i="25"/>
  <c r="J125" i="25"/>
  <c r="I125" i="25"/>
  <c r="H125" i="25"/>
  <c r="G125" i="25"/>
  <c r="F125" i="25"/>
  <c r="E125" i="25"/>
  <c r="D125" i="25"/>
  <c r="AQ115" i="25"/>
  <c r="BB114" i="25"/>
  <c r="BA114" i="25"/>
  <c r="AZ114" i="25"/>
  <c r="AY114" i="25"/>
  <c r="AX114" i="25"/>
  <c r="AW114" i="25"/>
  <c r="AV114" i="25"/>
  <c r="AU114" i="25"/>
  <c r="AT114" i="25"/>
  <c r="AS114" i="25"/>
  <c r="AR114" i="25"/>
  <c r="AQ114" i="25"/>
  <c r="AP114" i="25"/>
  <c r="AO114" i="25"/>
  <c r="AN114" i="25"/>
  <c r="AM114" i="25"/>
  <c r="AL114" i="25"/>
  <c r="AK114" i="25"/>
  <c r="AJ114" i="25"/>
  <c r="AI114" i="25"/>
  <c r="AH114" i="25"/>
  <c r="AG114" i="25"/>
  <c r="AF114" i="25"/>
  <c r="AE114" i="25"/>
  <c r="AD114" i="25"/>
  <c r="AC114" i="25"/>
  <c r="AB114" i="25"/>
  <c r="AA114" i="25"/>
  <c r="Z114" i="25"/>
  <c r="Y114" i="25"/>
  <c r="X114" i="25"/>
  <c r="W114" i="25"/>
  <c r="V114" i="25"/>
  <c r="U114" i="25"/>
  <c r="T114" i="25"/>
  <c r="S114" i="25"/>
  <c r="R114" i="25"/>
  <c r="Q114" i="25"/>
  <c r="P114" i="25"/>
  <c r="O114" i="25"/>
  <c r="N114" i="25"/>
  <c r="M114" i="25"/>
  <c r="M240" i="25" s="1"/>
  <c r="M243" i="25" s="1"/>
  <c r="L114" i="25"/>
  <c r="L240" i="25" s="1"/>
  <c r="L243" i="25" s="1"/>
  <c r="K114" i="25"/>
  <c r="K240" i="25" s="1"/>
  <c r="K243" i="25" s="1"/>
  <c r="J114" i="25"/>
  <c r="J240" i="25" s="1"/>
  <c r="J243" i="25" s="1"/>
  <c r="I114" i="25"/>
  <c r="I240" i="25" s="1"/>
  <c r="I243" i="25" s="1"/>
  <c r="H114" i="25"/>
  <c r="H240" i="25" s="1"/>
  <c r="H243" i="25" s="1"/>
  <c r="G114" i="25"/>
  <c r="G240" i="25" s="1"/>
  <c r="G243" i="25" s="1"/>
  <c r="F114" i="25"/>
  <c r="F240" i="25" s="1"/>
  <c r="F243" i="25" s="1"/>
  <c r="E114" i="25"/>
  <c r="E240" i="25" s="1"/>
  <c r="E243" i="25" s="1"/>
  <c r="D114" i="25"/>
  <c r="D240" i="25" s="1"/>
  <c r="D243" i="25" s="1"/>
  <c r="BB113" i="25"/>
  <c r="BA113" i="25"/>
  <c r="AZ113" i="25"/>
  <c r="AY113" i="25"/>
  <c r="AY115" i="25" s="1"/>
  <c r="AX113" i="25"/>
  <c r="AW113" i="25"/>
  <c r="AV113" i="25"/>
  <c r="AU113" i="25"/>
  <c r="AU115" i="25" s="1"/>
  <c r="AT113" i="25"/>
  <c r="AS113" i="25"/>
  <c r="AS115" i="25" s="1"/>
  <c r="AR113" i="25"/>
  <c r="AQ113" i="25"/>
  <c r="AP113" i="25"/>
  <c r="AO113" i="25"/>
  <c r="AN113" i="25"/>
  <c r="AM113" i="25"/>
  <c r="AL113" i="25"/>
  <c r="AK113" i="25"/>
  <c r="AK115" i="25" s="1"/>
  <c r="AJ113" i="25"/>
  <c r="AI113" i="25"/>
  <c r="AI115" i="25" s="1"/>
  <c r="AH113" i="25"/>
  <c r="AG113" i="25"/>
  <c r="AF113" i="25"/>
  <c r="AE113" i="25"/>
  <c r="AE115" i="25" s="1"/>
  <c r="AD113" i="25"/>
  <c r="AD115" i="25" s="1"/>
  <c r="AC113" i="25"/>
  <c r="AC115" i="25" s="1"/>
  <c r="AB113" i="25"/>
  <c r="AA113" i="25"/>
  <c r="AA115" i="25" s="1"/>
  <c r="Z113" i="25"/>
  <c r="Y113" i="25"/>
  <c r="X113" i="25"/>
  <c r="W113" i="25"/>
  <c r="W115" i="25" s="1"/>
  <c r="V113" i="25"/>
  <c r="V115" i="25" s="1"/>
  <c r="U113" i="25"/>
  <c r="U115" i="25" s="1"/>
  <c r="T113" i="25"/>
  <c r="S113" i="25"/>
  <c r="R113" i="25"/>
  <c r="Q113" i="25"/>
  <c r="P113" i="25"/>
  <c r="O113" i="25"/>
  <c r="O115" i="25" s="1"/>
  <c r="N113" i="25"/>
  <c r="M113" i="25"/>
  <c r="M239" i="25" s="1"/>
  <c r="L113" i="25"/>
  <c r="L239" i="25" s="1"/>
  <c r="K113" i="25"/>
  <c r="K239" i="25" s="1"/>
  <c r="J113" i="25"/>
  <c r="J239" i="25" s="1"/>
  <c r="I113" i="25"/>
  <c r="I239" i="25" s="1"/>
  <c r="H113" i="25"/>
  <c r="H239" i="25" s="1"/>
  <c r="G113" i="25"/>
  <c r="G239" i="25" s="1"/>
  <c r="F113" i="25"/>
  <c r="F239" i="25" s="1"/>
  <c r="E113" i="25"/>
  <c r="E239" i="25" s="1"/>
  <c r="D113" i="25"/>
  <c r="D239" i="25" s="1"/>
  <c r="BB109" i="25"/>
  <c r="BA109" i="25"/>
  <c r="AZ109" i="25"/>
  <c r="AY109" i="25"/>
  <c r="AX109" i="25"/>
  <c r="AW109" i="25"/>
  <c r="AV109" i="25"/>
  <c r="AU109" i="25"/>
  <c r="AT109" i="25"/>
  <c r="AS109" i="25"/>
  <c r="AR109" i="25"/>
  <c r="AQ109" i="25"/>
  <c r="AP109" i="25"/>
  <c r="AO109" i="25"/>
  <c r="AN109" i="25"/>
  <c r="AM109" i="25"/>
  <c r="AL109" i="25"/>
  <c r="AK109" i="25"/>
  <c r="AJ109" i="25"/>
  <c r="AI109" i="25"/>
  <c r="AH109" i="25"/>
  <c r="AG109" i="25"/>
  <c r="AF109" i="25"/>
  <c r="AE109" i="25"/>
  <c r="AD109" i="25"/>
  <c r="AC109" i="25"/>
  <c r="AB109" i="25"/>
  <c r="AA109" i="25"/>
  <c r="Z109" i="25"/>
  <c r="Y109" i="25"/>
  <c r="X109" i="25"/>
  <c r="W109" i="25"/>
  <c r="V109" i="25"/>
  <c r="U109" i="25"/>
  <c r="T109" i="25"/>
  <c r="S109" i="25"/>
  <c r="R109" i="25"/>
  <c r="Q109" i="25"/>
  <c r="P109" i="25"/>
  <c r="O109" i="25"/>
  <c r="N109" i="25"/>
  <c r="M109" i="25"/>
  <c r="L109" i="25"/>
  <c r="K109" i="25"/>
  <c r="J109" i="25"/>
  <c r="I109" i="25"/>
  <c r="H109" i="25"/>
  <c r="G109" i="25"/>
  <c r="F109" i="25"/>
  <c r="E109" i="25"/>
  <c r="D109" i="25"/>
  <c r="O100" i="25"/>
  <c r="N100" i="25"/>
  <c r="M100" i="25"/>
  <c r="L100" i="25"/>
  <c r="K100" i="25"/>
  <c r="J100" i="25"/>
  <c r="I100" i="25"/>
  <c r="H100" i="25"/>
  <c r="G100" i="25"/>
  <c r="F100" i="25"/>
  <c r="E100" i="25"/>
  <c r="T99" i="25"/>
  <c r="S99" i="25"/>
  <c r="R99" i="25"/>
  <c r="Q99" i="25"/>
  <c r="P99" i="25"/>
  <c r="O99" i="25"/>
  <c r="N99" i="25"/>
  <c r="M99" i="25"/>
  <c r="L99" i="25"/>
  <c r="K99" i="25"/>
  <c r="J99" i="25"/>
  <c r="I99" i="25"/>
  <c r="H99" i="25"/>
  <c r="G99" i="25"/>
  <c r="F99" i="25"/>
  <c r="T98" i="25"/>
  <c r="S98" i="25"/>
  <c r="R98" i="25"/>
  <c r="Q98" i="25"/>
  <c r="P98" i="25"/>
  <c r="O98" i="25"/>
  <c r="N98" i="25"/>
  <c r="M98" i="25"/>
  <c r="L98" i="25"/>
  <c r="K98" i="25"/>
  <c r="J98" i="25"/>
  <c r="I98" i="25"/>
  <c r="H98" i="25"/>
  <c r="G98" i="25"/>
  <c r="F98" i="25"/>
  <c r="BB97" i="25"/>
  <c r="BA97" i="25"/>
  <c r="AZ97" i="25"/>
  <c r="AY97" i="25"/>
  <c r="AX97" i="25"/>
  <c r="AW97" i="25"/>
  <c r="AV97" i="25"/>
  <c r="AU97" i="25"/>
  <c r="AT97" i="25"/>
  <c r="AS97" i="25"/>
  <c r="AR97" i="25"/>
  <c r="AQ97" i="25"/>
  <c r="AP97" i="25"/>
  <c r="AO97" i="25"/>
  <c r="AN97" i="25"/>
  <c r="AM97" i="25"/>
  <c r="AL97" i="25"/>
  <c r="AK97" i="25"/>
  <c r="AJ97" i="25"/>
  <c r="AI97" i="25"/>
  <c r="AH97" i="25"/>
  <c r="AG97" i="25"/>
  <c r="AF97" i="25"/>
  <c r="AE97" i="25"/>
  <c r="AD97" i="25"/>
  <c r="AC97" i="25"/>
  <c r="AB97" i="25"/>
  <c r="AA97" i="25"/>
  <c r="Z97" i="25"/>
  <c r="Y97" i="25"/>
  <c r="X97" i="25"/>
  <c r="W97" i="25"/>
  <c r="V97" i="25"/>
  <c r="U97" i="25"/>
  <c r="T97" i="25"/>
  <c r="S97" i="25"/>
  <c r="R97" i="25"/>
  <c r="Q97" i="25"/>
  <c r="P97" i="25"/>
  <c r="O97" i="25"/>
  <c r="N97" i="25"/>
  <c r="M97" i="25"/>
  <c r="L97" i="25"/>
  <c r="K97" i="25"/>
  <c r="J97" i="25"/>
  <c r="I97" i="25"/>
  <c r="H97" i="25"/>
  <c r="G97" i="25"/>
  <c r="F97" i="25"/>
  <c r="BB96" i="25"/>
  <c r="BA96" i="25"/>
  <c r="AZ96" i="25"/>
  <c r="AY96" i="25"/>
  <c r="AX96" i="25"/>
  <c r="AW96" i="25"/>
  <c r="AV96" i="25"/>
  <c r="AU96" i="25"/>
  <c r="AT96" i="25"/>
  <c r="AS96" i="25"/>
  <c r="AR96" i="25"/>
  <c r="AQ96" i="25"/>
  <c r="AP96" i="25"/>
  <c r="AO96" i="25"/>
  <c r="AN96" i="25"/>
  <c r="AM96" i="25"/>
  <c r="AL96" i="25"/>
  <c r="AK96" i="25"/>
  <c r="AJ96" i="25"/>
  <c r="AI96" i="25"/>
  <c r="AH96" i="25"/>
  <c r="AG96" i="25"/>
  <c r="AF96" i="25"/>
  <c r="AE96" i="25"/>
  <c r="AD96" i="25"/>
  <c r="AC96" i="25"/>
  <c r="AB96" i="25"/>
  <c r="AA96" i="25"/>
  <c r="Z96" i="25"/>
  <c r="Y96" i="25"/>
  <c r="X96" i="25"/>
  <c r="W96" i="25"/>
  <c r="V96" i="25"/>
  <c r="U96" i="25"/>
  <c r="T96" i="25"/>
  <c r="S96" i="25"/>
  <c r="R96" i="25"/>
  <c r="Q96" i="25"/>
  <c r="P96" i="25"/>
  <c r="O96" i="25"/>
  <c r="N96" i="25"/>
  <c r="M96" i="25"/>
  <c r="L96" i="25"/>
  <c r="K96" i="25"/>
  <c r="J96" i="25"/>
  <c r="I96" i="25"/>
  <c r="H96" i="25"/>
  <c r="G96" i="25"/>
  <c r="F96" i="25"/>
  <c r="BB95" i="25"/>
  <c r="BA95" i="25"/>
  <c r="AZ95" i="25"/>
  <c r="AY95" i="25"/>
  <c r="AX95" i="25"/>
  <c r="AW95" i="25"/>
  <c r="AV95" i="25"/>
  <c r="AU95" i="25"/>
  <c r="AT95" i="25"/>
  <c r="AS95" i="25"/>
  <c r="AR95" i="25"/>
  <c r="AQ95" i="25"/>
  <c r="AP95" i="25"/>
  <c r="AO95" i="25"/>
  <c r="AN95" i="25"/>
  <c r="AM95" i="25"/>
  <c r="AL95" i="25"/>
  <c r="AK95" i="25"/>
  <c r="AJ95" i="25"/>
  <c r="AI95" i="25"/>
  <c r="AH95" i="25"/>
  <c r="AG95" i="25"/>
  <c r="AF95" i="25"/>
  <c r="AE95" i="25"/>
  <c r="AD95" i="25"/>
  <c r="AC95" i="25"/>
  <c r="AB95" i="25"/>
  <c r="AA95" i="25"/>
  <c r="Z95" i="25"/>
  <c r="Y95" i="25"/>
  <c r="X95" i="25"/>
  <c r="W95" i="25"/>
  <c r="V95" i="25"/>
  <c r="U95" i="25"/>
  <c r="T95" i="25"/>
  <c r="S95" i="25"/>
  <c r="R95" i="25"/>
  <c r="Q95" i="25"/>
  <c r="P95" i="25"/>
  <c r="O95" i="25"/>
  <c r="N95" i="25"/>
  <c r="M95" i="25"/>
  <c r="L95" i="25"/>
  <c r="K95" i="25"/>
  <c r="J95" i="25"/>
  <c r="I95" i="25"/>
  <c r="H95" i="25"/>
  <c r="G95" i="25"/>
  <c r="F95" i="25"/>
  <c r="BI36" i="25"/>
  <c r="BG36" i="25"/>
  <c r="BF36" i="25"/>
  <c r="BE36" i="25"/>
  <c r="BD36" i="25"/>
  <c r="BC36" i="25"/>
  <c r="BA36" i="25"/>
  <c r="AY36" i="25"/>
  <c r="AX36" i="25"/>
  <c r="AW36" i="25"/>
  <c r="AV36" i="25"/>
  <c r="AU36" i="25"/>
  <c r="AU34" i="25" s="1"/>
  <c r="AS36" i="25"/>
  <c r="AQ36" i="25"/>
  <c r="AP36" i="25"/>
  <c r="AO36" i="25"/>
  <c r="AN36" i="25"/>
  <c r="AM36" i="25"/>
  <c r="AK36" i="25"/>
  <c r="AI36" i="25"/>
  <c r="AH36" i="25"/>
  <c r="AG36" i="25"/>
  <c r="AF36" i="25"/>
  <c r="AE36" i="25"/>
  <c r="AC36" i="25"/>
  <c r="AA36" i="25"/>
  <c r="Z36" i="25"/>
  <c r="Y36" i="25"/>
  <c r="X36" i="25"/>
  <c r="W36" i="25"/>
  <c r="V36" i="25"/>
  <c r="U36" i="25"/>
  <c r="S36" i="25"/>
  <c r="R36" i="25"/>
  <c r="Q36" i="25"/>
  <c r="P36" i="25"/>
  <c r="O36" i="25"/>
  <c r="O34" i="25" s="1"/>
  <c r="BJ35" i="25"/>
  <c r="BG35" i="25"/>
  <c r="BF35" i="25"/>
  <c r="BE35" i="25"/>
  <c r="BE34" i="25" s="1"/>
  <c r="BD35" i="25"/>
  <c r="BC35" i="25"/>
  <c r="AY35" i="25"/>
  <c r="AY34" i="25" s="1"/>
  <c r="AX35" i="25"/>
  <c r="AW35" i="25"/>
  <c r="AV35" i="25"/>
  <c r="AU35" i="25"/>
  <c r="AQ35" i="25"/>
  <c r="AP35" i="25"/>
  <c r="AO35" i="25"/>
  <c r="AN35" i="25"/>
  <c r="AM35" i="25"/>
  <c r="AI35" i="25"/>
  <c r="AH35" i="25"/>
  <c r="AG35" i="25"/>
  <c r="AF35" i="25"/>
  <c r="AE35" i="25"/>
  <c r="AD35" i="25"/>
  <c r="AA35" i="25"/>
  <c r="Z35" i="25"/>
  <c r="Y35" i="25"/>
  <c r="X35" i="25"/>
  <c r="W35" i="25"/>
  <c r="S35" i="25"/>
  <c r="R35" i="25"/>
  <c r="Q35" i="25"/>
  <c r="P35" i="25"/>
  <c r="O35" i="25"/>
  <c r="AP34" i="25"/>
  <c r="AG34" i="25"/>
  <c r="Z34" i="25"/>
  <c r="W34" i="25"/>
  <c r="Q34" i="25"/>
  <c r="AD33" i="25"/>
  <c r="BJ32" i="25"/>
  <c r="BJ33" i="25" s="1"/>
  <c r="BI32" i="25"/>
  <c r="BI33" i="25" s="1"/>
  <c r="BH32" i="25"/>
  <c r="BH33" i="25" s="1"/>
  <c r="BG32" i="25"/>
  <c r="BG33" i="25" s="1"/>
  <c r="BF32" i="25"/>
  <c r="BF33" i="25" s="1"/>
  <c r="BE32" i="25"/>
  <c r="BE33" i="25" s="1"/>
  <c r="BB32" i="25"/>
  <c r="BB33" i="25" s="1"/>
  <c r="BA32" i="25"/>
  <c r="BA33" i="25" s="1"/>
  <c r="AZ32" i="25"/>
  <c r="AZ33" i="25" s="1"/>
  <c r="AY32" i="25"/>
  <c r="AY33" i="25" s="1"/>
  <c r="AX32" i="25"/>
  <c r="AX33" i="25" s="1"/>
  <c r="AW32" i="25"/>
  <c r="AW33" i="25" s="1"/>
  <c r="AT32" i="25"/>
  <c r="AT33" i="25" s="1"/>
  <c r="AS32" i="25"/>
  <c r="AS33" i="25" s="1"/>
  <c r="AR32" i="25"/>
  <c r="AR33" i="25" s="1"/>
  <c r="AQ32" i="25"/>
  <c r="AQ33" i="25" s="1"/>
  <c r="AP32" i="25"/>
  <c r="AP33" i="25" s="1"/>
  <c r="AO32" i="25"/>
  <c r="AO33" i="25" s="1"/>
  <c r="AL32" i="25"/>
  <c r="AL33" i="25" s="1"/>
  <c r="AK32" i="25"/>
  <c r="AK33" i="25" s="1"/>
  <c r="AJ32" i="25"/>
  <c r="AJ33" i="25" s="1"/>
  <c r="AI32" i="25"/>
  <c r="AI33" i="25" s="1"/>
  <c r="AH32" i="25"/>
  <c r="AH33" i="25" s="1"/>
  <c r="AG32" i="25"/>
  <c r="AG33" i="25" s="1"/>
  <c r="AD32" i="25"/>
  <c r="AC32" i="25"/>
  <c r="AC33" i="25" s="1"/>
  <c r="AB32" i="25"/>
  <c r="AB33" i="25" s="1"/>
  <c r="AA32" i="25"/>
  <c r="AA33" i="25" s="1"/>
  <c r="Z32" i="25"/>
  <c r="Z33" i="25" s="1"/>
  <c r="Y32" i="25"/>
  <c r="Y33" i="25" s="1"/>
  <c r="V32" i="25"/>
  <c r="V33" i="25" s="1"/>
  <c r="U32" i="25"/>
  <c r="U33" i="25" s="1"/>
  <c r="T32" i="25"/>
  <c r="T33" i="25" s="1"/>
  <c r="S32" i="25"/>
  <c r="S33" i="25" s="1"/>
  <c r="R32" i="25"/>
  <c r="R33" i="25" s="1"/>
  <c r="Q32" i="25"/>
  <c r="Q33" i="25" s="1"/>
  <c r="N32" i="25"/>
  <c r="N33" i="25" s="1"/>
  <c r="C26" i="25"/>
  <c r="C255" i="25" s="1"/>
  <c r="C25" i="25"/>
  <c r="C254" i="25" s="1"/>
  <c r="N17" i="25"/>
  <c r="L8" i="25"/>
  <c r="J9" i="25" s="1"/>
  <c r="N9" i="25" s="1"/>
  <c r="J5" i="25"/>
  <c r="N5" i="25" s="1"/>
  <c r="W230" i="25" l="1"/>
  <c r="W204" i="25"/>
  <c r="W192" i="25"/>
  <c r="W32" i="25"/>
  <c r="W33" i="25" s="1"/>
  <c r="AU230" i="25"/>
  <c r="AU32" i="25"/>
  <c r="AU33" i="25" s="1"/>
  <c r="AU204" i="25"/>
  <c r="AU192" i="25"/>
  <c r="BC32" i="25"/>
  <c r="BC33" i="25" s="1"/>
  <c r="BC204" i="25"/>
  <c r="BC192" i="25"/>
  <c r="AW178" i="25"/>
  <c r="AW179" i="25" s="1"/>
  <c r="AX62" i="27" s="1"/>
  <c r="AX51" i="27" s="1"/>
  <c r="AX43" i="27" s="1"/>
  <c r="BA2" i="30" s="1"/>
  <c r="V193" i="25"/>
  <c r="AT225" i="25"/>
  <c r="V205" i="25"/>
  <c r="R133" i="25"/>
  <c r="BF133" i="25"/>
  <c r="BD34" i="25"/>
  <c r="BB36" i="25"/>
  <c r="BA192" i="25"/>
  <c r="BI204" i="25"/>
  <c r="AM32" i="25"/>
  <c r="AM33" i="25" s="1"/>
  <c r="AM204" i="25"/>
  <c r="AM192" i="25"/>
  <c r="N225" i="25"/>
  <c r="N205" i="25"/>
  <c r="N193" i="25"/>
  <c r="M193" i="25" s="1"/>
  <c r="AD236" i="25"/>
  <c r="AD225" i="25"/>
  <c r="AE34" i="25"/>
  <c r="BJ225" i="25"/>
  <c r="BC230" i="25"/>
  <c r="AF34" i="25"/>
  <c r="BB35" i="25"/>
  <c r="BB34" i="25" s="1"/>
  <c r="AD210" i="25"/>
  <c r="AD216" i="25"/>
  <c r="BJ216" i="25"/>
  <c r="BJ210" i="25"/>
  <c r="X34" i="25"/>
  <c r="AT35" i="25"/>
  <c r="AT36" i="25"/>
  <c r="AT34" i="25" s="1"/>
  <c r="BC34" i="25"/>
  <c r="S115" i="25"/>
  <c r="AC192" i="25"/>
  <c r="AL193" i="25"/>
  <c r="AT193" i="25"/>
  <c r="BB193" i="25"/>
  <c r="BJ193" i="25"/>
  <c r="AT205" i="25"/>
  <c r="BB205" i="25"/>
  <c r="N216" i="25"/>
  <c r="AT3" i="30"/>
  <c r="O204" i="25"/>
  <c r="O192" i="25"/>
  <c r="O32" i="25"/>
  <c r="O33" i="25" s="1"/>
  <c r="O230" i="25"/>
  <c r="AE32" i="25"/>
  <c r="AE33" i="25" s="1"/>
  <c r="AE230" i="25"/>
  <c r="AE204" i="25"/>
  <c r="AE192" i="25"/>
  <c r="N36" i="25"/>
  <c r="N34" i="25" s="1"/>
  <c r="V35" i="25"/>
  <c r="BJ36" i="25"/>
  <c r="J133" i="25"/>
  <c r="J244" i="25" s="1"/>
  <c r="AX133" i="25"/>
  <c r="P34" i="25"/>
  <c r="AL35" i="25"/>
  <c r="AL34" i="25" s="1"/>
  <c r="AL36" i="25"/>
  <c r="AL205" i="25"/>
  <c r="V236" i="25"/>
  <c r="BJ236" i="25"/>
  <c r="U204" i="25"/>
  <c r="U192" i="25"/>
  <c r="T236" i="25"/>
  <c r="T36" i="25"/>
  <c r="T34" i="25" s="1"/>
  <c r="T35" i="25"/>
  <c r="T225" i="25"/>
  <c r="T205" i="25"/>
  <c r="T193" i="25"/>
  <c r="AB36" i="25"/>
  <c r="AB35" i="25"/>
  <c r="AB236" i="25"/>
  <c r="AB225" i="25"/>
  <c r="AB205" i="25"/>
  <c r="AB193" i="25"/>
  <c r="AJ225" i="25"/>
  <c r="AJ36" i="25"/>
  <c r="AJ34" i="25" s="1"/>
  <c r="AJ35" i="25"/>
  <c r="AJ205" i="25"/>
  <c r="AR36" i="25"/>
  <c r="AR34" i="25" s="1"/>
  <c r="AR225" i="25"/>
  <c r="AR35" i="25"/>
  <c r="AR236" i="25"/>
  <c r="AZ36" i="25"/>
  <c r="AZ225" i="25"/>
  <c r="AZ35" i="25"/>
  <c r="AZ236" i="25"/>
  <c r="BH236" i="25"/>
  <c r="BH205" i="25"/>
  <c r="BH36" i="25"/>
  <c r="BH35" i="25"/>
  <c r="AD36" i="25"/>
  <c r="AD34" i="25" s="1"/>
  <c r="AM34" i="25"/>
  <c r="AD193" i="25"/>
  <c r="AC204" i="25"/>
  <c r="BH225" i="25"/>
  <c r="AC34" i="25"/>
  <c r="I133" i="25"/>
  <c r="I244" i="25" s="1"/>
  <c r="Q133" i="25"/>
  <c r="AW133" i="25"/>
  <c r="BE133" i="25"/>
  <c r="U216" i="25"/>
  <c r="AC216" i="25"/>
  <c r="AK216" i="25"/>
  <c r="AM225" i="25"/>
  <c r="AU225" i="25"/>
  <c r="BD230" i="25"/>
  <c r="AU3" i="30"/>
  <c r="N217" i="25"/>
  <c r="M217" i="25" s="1"/>
  <c r="M34" i="25" s="1"/>
  <c r="AT217" i="25"/>
  <c r="BJ217" i="25"/>
  <c r="R34" i="25"/>
  <c r="AH34" i="25"/>
  <c r="AX34" i="25"/>
  <c r="BF34" i="25"/>
  <c r="Y34" i="25"/>
  <c r="AO34" i="25"/>
  <c r="AW34" i="25"/>
  <c r="T115" i="25"/>
  <c r="AJ115" i="25"/>
  <c r="AZ115" i="25"/>
  <c r="E170" i="25"/>
  <c r="M170" i="25"/>
  <c r="U170" i="25"/>
  <c r="AC170" i="25"/>
  <c r="AK170" i="25"/>
  <c r="AK178" i="25" s="1"/>
  <c r="AK179" i="25" s="1"/>
  <c r="AL62" i="27" s="1"/>
  <c r="AL51" i="27" s="1"/>
  <c r="AL43" i="27" s="1"/>
  <c r="AO3" i="33" s="1"/>
  <c r="BA170" i="25"/>
  <c r="BI170" i="25"/>
  <c r="U177" i="25"/>
  <c r="AK177" i="25"/>
  <c r="AD192" i="25"/>
  <c r="AL192" i="25"/>
  <c r="W193" i="25"/>
  <c r="AE193" i="25"/>
  <c r="AD204" i="25"/>
  <c r="AT204" i="25"/>
  <c r="W205" i="25"/>
  <c r="AE205" i="25"/>
  <c r="P216" i="25"/>
  <c r="X216" i="25"/>
  <c r="AF216" i="25"/>
  <c r="AN216" i="25"/>
  <c r="N230" i="25"/>
  <c r="AF230" i="25"/>
  <c r="AA3" i="30"/>
  <c r="X115" i="25"/>
  <c r="AV115" i="25"/>
  <c r="F170" i="25"/>
  <c r="N170" i="25"/>
  <c r="V170" i="25"/>
  <c r="V178" i="25" s="1"/>
  <c r="V179" i="25" s="1"/>
  <c r="W62" i="27" s="1"/>
  <c r="W51" i="27" s="1"/>
  <c r="W43" i="27" s="1"/>
  <c r="AD170" i="25"/>
  <c r="AL170" i="25"/>
  <c r="AL178" i="25" s="1"/>
  <c r="AL179" i="25" s="1"/>
  <c r="AM62" i="27" s="1"/>
  <c r="AM51" i="27" s="1"/>
  <c r="AM43" i="27" s="1"/>
  <c r="AT170" i="25"/>
  <c r="BB170" i="25"/>
  <c r="BJ170" i="25"/>
  <c r="AL177" i="25"/>
  <c r="BJ177" i="25"/>
  <c r="N192" i="25"/>
  <c r="V192" i="25"/>
  <c r="AV192" i="25"/>
  <c r="BD192" i="25"/>
  <c r="V204" i="25"/>
  <c r="BD204" i="25"/>
  <c r="O205" i="25"/>
  <c r="U225" i="25"/>
  <c r="AC225" i="25"/>
  <c r="Z3" i="30"/>
  <c r="AC236" i="25"/>
  <c r="AS236" i="25"/>
  <c r="BN3" i="30"/>
  <c r="Y3" i="30"/>
  <c r="V217" i="25"/>
  <c r="BB217" i="25"/>
  <c r="P32" i="25"/>
  <c r="P33" i="25" s="1"/>
  <c r="X32" i="25"/>
  <c r="X33" i="25" s="1"/>
  <c r="AF32" i="25"/>
  <c r="AF33" i="25" s="1"/>
  <c r="AN32" i="25"/>
  <c r="AN33" i="25" s="1"/>
  <c r="AV32" i="25"/>
  <c r="AV33" i="25" s="1"/>
  <c r="S34" i="25"/>
  <c r="AA34" i="25"/>
  <c r="AI34" i="25"/>
  <c r="AQ34" i="25"/>
  <c r="BG34" i="25"/>
  <c r="Q115" i="25"/>
  <c r="Y115" i="25"/>
  <c r="AO115" i="25"/>
  <c r="AW115" i="25"/>
  <c r="AF192" i="25"/>
  <c r="AN192" i="25"/>
  <c r="P230" i="25"/>
  <c r="U35" i="25"/>
  <c r="U34" i="25" s="1"/>
  <c r="AK35" i="25"/>
  <c r="AK34" i="25" s="1"/>
  <c r="AS35" i="25"/>
  <c r="AS34" i="25" s="1"/>
  <c r="BA35" i="25"/>
  <c r="BA34" i="25" s="1"/>
  <c r="BI35" i="25"/>
  <c r="BI34" i="25" s="1"/>
  <c r="R115" i="25"/>
  <c r="AP115" i="25"/>
  <c r="AX115" i="25"/>
  <c r="W133" i="25"/>
  <c r="H170" i="25"/>
  <c r="P170" i="25"/>
  <c r="X170" i="25"/>
  <c r="AF170" i="25"/>
  <c r="AN170" i="25"/>
  <c r="BD170" i="25"/>
  <c r="X177" i="25"/>
  <c r="X178" i="25" s="1"/>
  <c r="X179" i="25" s="1"/>
  <c r="Y62" i="27" s="1"/>
  <c r="Y51" i="27" s="1"/>
  <c r="Y43" i="27" s="1"/>
  <c r="P192" i="25"/>
  <c r="X204" i="25"/>
  <c r="W225" i="25"/>
  <c r="AE225" i="25"/>
  <c r="AB241" i="25"/>
  <c r="AR241" i="25"/>
  <c r="BM3" i="30"/>
  <c r="AF3" i="33"/>
  <c r="AF2" i="30"/>
  <c r="BA3" i="33"/>
  <c r="BB3" i="33"/>
  <c r="BB2" i="30"/>
  <c r="BD3" i="33"/>
  <c r="BD2" i="30"/>
  <c r="AL3" i="33"/>
  <c r="AL2" i="30"/>
  <c r="L217" i="25"/>
  <c r="V3" i="33"/>
  <c r="V2" i="30"/>
  <c r="BJ3" i="33"/>
  <c r="BJ2" i="30"/>
  <c r="BK3" i="33"/>
  <c r="BK2" i="30"/>
  <c r="W3" i="33"/>
  <c r="W2" i="30"/>
  <c r="AY178" i="25"/>
  <c r="AY179" i="25" s="1"/>
  <c r="AZ62" i="27" s="1"/>
  <c r="AZ51" i="27" s="1"/>
  <c r="AZ43" i="27" s="1"/>
  <c r="Z115" i="25"/>
  <c r="AT115" i="25"/>
  <c r="K115" i="25"/>
  <c r="K241" i="25" s="1"/>
  <c r="BB210" i="25"/>
  <c r="BA236" i="25"/>
  <c r="AR3" i="30"/>
  <c r="X3" i="30"/>
  <c r="AI178" i="25"/>
  <c r="AI179" i="25" s="1"/>
  <c r="AJ62" i="27" s="1"/>
  <c r="AJ51" i="27" s="1"/>
  <c r="AJ43" i="27" s="1"/>
  <c r="BB236" i="25"/>
  <c r="BK3" i="30"/>
  <c r="AQ3" i="30"/>
  <c r="W3" i="30"/>
  <c r="AP133" i="25"/>
  <c r="AJ178" i="25"/>
  <c r="AJ179" i="25" s="1"/>
  <c r="AK62" i="27" s="1"/>
  <c r="AK51" i="27" s="1"/>
  <c r="AK43" i="27" s="1"/>
  <c r="AG236" i="25"/>
  <c r="BD236" i="25"/>
  <c r="BJ3" i="30"/>
  <c r="AP3" i="30"/>
  <c r="V3" i="30"/>
  <c r="BI3" i="30"/>
  <c r="AO3" i="30"/>
  <c r="U3" i="30"/>
  <c r="AI236" i="25"/>
  <c r="BH3" i="30"/>
  <c r="AN3" i="30"/>
  <c r="T3" i="30"/>
  <c r="X133" i="25"/>
  <c r="AJ236" i="25"/>
  <c r="BG236" i="25"/>
  <c r="BG3" i="30"/>
  <c r="AM3" i="30"/>
  <c r="S3" i="30"/>
  <c r="D133" i="25"/>
  <c r="D244" i="25" s="1"/>
  <c r="AF115" i="25"/>
  <c r="E133" i="25"/>
  <c r="E244" i="25" s="1"/>
  <c r="Y133" i="25"/>
  <c r="T178" i="25"/>
  <c r="T179" i="25" s="1"/>
  <c r="U62" i="27" s="1"/>
  <c r="U51" i="27" s="1"/>
  <c r="U43" i="27" s="1"/>
  <c r="BH178" i="25"/>
  <c r="BH179" i="25" s="1"/>
  <c r="BI62" i="27" s="1"/>
  <c r="BI51" i="27" s="1"/>
  <c r="BI43" i="27" s="1"/>
  <c r="Z177" i="25"/>
  <c r="BG217" i="25"/>
  <c r="N236" i="25"/>
  <c r="AK236" i="25"/>
  <c r="BF3" i="30"/>
  <c r="AL3" i="30"/>
  <c r="R3" i="30"/>
  <c r="AN34" i="25"/>
  <c r="AG115" i="25"/>
  <c r="BA115" i="25"/>
  <c r="Z133" i="25"/>
  <c r="U178" i="25"/>
  <c r="U179" i="25" s="1"/>
  <c r="V62" i="27" s="1"/>
  <c r="V51" i="27" s="1"/>
  <c r="V43" i="27" s="1"/>
  <c r="AA177" i="25"/>
  <c r="P236" i="25"/>
  <c r="AL236" i="25"/>
  <c r="H7" i="33"/>
  <c r="H6" i="33"/>
  <c r="H5" i="33"/>
  <c r="H6" i="30"/>
  <c r="H5" i="30"/>
  <c r="H4" i="30"/>
  <c r="BE3" i="30"/>
  <c r="AK3" i="30"/>
  <c r="Q3" i="30"/>
  <c r="AZ34" i="25"/>
  <c r="N115" i="25"/>
  <c r="AH115" i="25"/>
  <c r="BB115" i="25"/>
  <c r="G133" i="25"/>
  <c r="G244" i="25" s="1"/>
  <c r="AU133" i="25"/>
  <c r="AB204" i="25"/>
  <c r="AV204" i="25"/>
  <c r="S205" i="25"/>
  <c r="AM205" i="25"/>
  <c r="AR230" i="25"/>
  <c r="Q236" i="25"/>
  <c r="BD3" i="30"/>
  <c r="AJ3" i="30"/>
  <c r="P3" i="30"/>
  <c r="V34" i="25"/>
  <c r="BJ34" i="25"/>
  <c r="AR115" i="25"/>
  <c r="H133" i="25"/>
  <c r="H244" i="25" s="1"/>
  <c r="AV133" i="25"/>
  <c r="AQ178" i="25"/>
  <c r="AQ179" i="25" s="1"/>
  <c r="AR62" i="27" s="1"/>
  <c r="AR51" i="27" s="1"/>
  <c r="AR43" i="27" s="1"/>
  <c r="AC177" i="25"/>
  <c r="R236" i="25"/>
  <c r="BC3" i="30"/>
  <c r="AI3" i="30"/>
  <c r="O3" i="30"/>
  <c r="P115" i="25"/>
  <c r="AR178" i="25"/>
  <c r="AR179" i="25" s="1"/>
  <c r="AS62" i="27" s="1"/>
  <c r="AS51" i="27" s="1"/>
  <c r="AS43" i="27" s="1"/>
  <c r="E42" i="27"/>
  <c r="H8" i="33" s="1"/>
  <c r="BB3" i="30"/>
  <c r="AH3" i="30"/>
  <c r="N3" i="30"/>
  <c r="X230" i="25"/>
  <c r="P241" i="25"/>
  <c r="AJ241" i="25"/>
  <c r="BA3" i="30"/>
  <c r="AG3" i="30"/>
  <c r="AS170" i="25"/>
  <c r="AL115" i="25"/>
  <c r="AE133" i="25"/>
  <c r="Y230" i="25"/>
  <c r="AZ3" i="30"/>
  <c r="AF3" i="30"/>
  <c r="AM115" i="25"/>
  <c r="AB115" i="25"/>
  <c r="AF133" i="25"/>
  <c r="AA178" i="25"/>
  <c r="AA179" i="25" s="1"/>
  <c r="AB62" i="27" s="1"/>
  <c r="AB51" i="27" s="1"/>
  <c r="AB43" i="27" s="1"/>
  <c r="AU170" i="25"/>
  <c r="AU178" i="25" s="1"/>
  <c r="AU179" i="25" s="1"/>
  <c r="AV62" i="27" s="1"/>
  <c r="AV51" i="27" s="1"/>
  <c r="AV43" i="27" s="1"/>
  <c r="BE177" i="25"/>
  <c r="BE178" i="25" s="1"/>
  <c r="BE179" i="25" s="1"/>
  <c r="BF62" i="27" s="1"/>
  <c r="BF51" i="27" s="1"/>
  <c r="BF43" i="27" s="1"/>
  <c r="O225" i="25"/>
  <c r="AI225" i="25"/>
  <c r="H9" i="33"/>
  <c r="H8" i="30"/>
  <c r="AY3" i="30"/>
  <c r="AE3" i="30"/>
  <c r="AN115" i="25"/>
  <c r="AG133" i="25"/>
  <c r="AV170" i="25"/>
  <c r="AV178" i="25" s="1"/>
  <c r="AV179" i="25" s="1"/>
  <c r="AW62" i="27" s="1"/>
  <c r="AW51" i="27" s="1"/>
  <c r="AW43" i="27" s="1"/>
  <c r="AB230" i="25"/>
  <c r="AX3" i="30"/>
  <c r="AD3" i="30"/>
  <c r="AV34" i="25"/>
  <c r="AC178" i="25"/>
  <c r="AC179" i="25" s="1"/>
  <c r="AD62" i="27" s="1"/>
  <c r="AD51" i="27" s="1"/>
  <c r="AD43" i="27" s="1"/>
  <c r="T241" i="25"/>
  <c r="BH241" i="25"/>
  <c r="BH256" i="25" s="1"/>
  <c r="AW3" i="30"/>
  <c r="AC3" i="30"/>
  <c r="Y170" i="25"/>
  <c r="BK239" i="25"/>
  <c r="BK32" i="25" s="1"/>
  <c r="BK33" i="25" s="1"/>
  <c r="AR192" i="25"/>
  <c r="O193" i="25"/>
  <c r="AL210" i="25"/>
  <c r="AV3" i="30"/>
  <c r="AB3" i="30"/>
  <c r="N31" i="26"/>
  <c r="N39" i="26"/>
  <c r="N47" i="26"/>
  <c r="N55" i="26"/>
  <c r="N63" i="26"/>
  <c r="N71" i="26"/>
  <c r="N79" i="26"/>
  <c r="N25" i="26"/>
  <c r="N17" i="26"/>
  <c r="N72" i="26"/>
  <c r="E46" i="26"/>
  <c r="N32" i="26"/>
  <c r="N40" i="26"/>
  <c r="N48" i="26"/>
  <c r="N56" i="26"/>
  <c r="N64" i="26"/>
  <c r="N80" i="26"/>
  <c r="N24" i="26"/>
  <c r="N16" i="26"/>
  <c r="N33" i="26"/>
  <c r="N41" i="26"/>
  <c r="N49" i="26"/>
  <c r="N57" i="26"/>
  <c r="N65" i="26"/>
  <c r="N73" i="26"/>
  <c r="N81" i="26"/>
  <c r="N23" i="26"/>
  <c r="N15" i="26"/>
  <c r="J32" i="26"/>
  <c r="N34" i="26"/>
  <c r="N42" i="26"/>
  <c r="N50" i="26"/>
  <c r="N58" i="26"/>
  <c r="N66" i="26"/>
  <c r="N74" i="26"/>
  <c r="N82" i="26"/>
  <c r="N22" i="26"/>
  <c r="N14" i="26"/>
  <c r="N35" i="26"/>
  <c r="N43" i="26"/>
  <c r="N51" i="26"/>
  <c r="N59" i="26"/>
  <c r="N67" i="26"/>
  <c r="N75" i="26"/>
  <c r="N29" i="26"/>
  <c r="N21" i="26"/>
  <c r="N13" i="26"/>
  <c r="N68" i="26"/>
  <c r="N36" i="26"/>
  <c r="N44" i="26"/>
  <c r="N52" i="26"/>
  <c r="N60" i="26"/>
  <c r="N76" i="26"/>
  <c r="N28" i="26"/>
  <c r="N20" i="26"/>
  <c r="N37" i="26"/>
  <c r="N45" i="26"/>
  <c r="N53" i="26"/>
  <c r="N61" i="26"/>
  <c r="N69" i="26"/>
  <c r="N77" i="26"/>
  <c r="N27" i="26"/>
  <c r="N19" i="26"/>
  <c r="N30" i="26"/>
  <c r="N38" i="26"/>
  <c r="N46" i="26"/>
  <c r="N54" i="26"/>
  <c r="N62" i="26"/>
  <c r="N70" i="26"/>
  <c r="N78" i="26"/>
  <c r="N26" i="26"/>
  <c r="N18" i="26"/>
  <c r="C41" i="27"/>
  <c r="C42" i="27"/>
  <c r="C40" i="27"/>
  <c r="F50" i="27"/>
  <c r="J52" i="27"/>
  <c r="J44" i="27" s="1"/>
  <c r="BM63" i="27"/>
  <c r="BM52" i="27" s="1"/>
  <c r="BM44" i="27" s="1"/>
  <c r="BL52" i="27"/>
  <c r="BL44" i="27" s="1"/>
  <c r="G59" i="27"/>
  <c r="F48" i="27"/>
  <c r="F40" i="27" s="1"/>
  <c r="F60" i="27"/>
  <c r="F49" i="27" s="1"/>
  <c r="F41" i="27" s="1"/>
  <c r="G50" i="27"/>
  <c r="I52" i="27"/>
  <c r="I44" i="27" s="1"/>
  <c r="J64" i="26"/>
  <c r="E78" i="26"/>
  <c r="E54" i="26"/>
  <c r="E30" i="26"/>
  <c r="J48" i="26"/>
  <c r="E62" i="26"/>
  <c r="J80" i="26"/>
  <c r="E14" i="26"/>
  <c r="J40" i="26"/>
  <c r="J72" i="26"/>
  <c r="E22" i="26"/>
  <c r="E38" i="26"/>
  <c r="J56" i="26"/>
  <c r="E70" i="26"/>
  <c r="E13" i="26"/>
  <c r="E21" i="26"/>
  <c r="E29" i="26"/>
  <c r="E35" i="26"/>
  <c r="J37" i="26"/>
  <c r="E43" i="26"/>
  <c r="J45" i="26"/>
  <c r="E51" i="26"/>
  <c r="J53" i="26"/>
  <c r="E59" i="26"/>
  <c r="J61" i="26"/>
  <c r="E67" i="26"/>
  <c r="J69" i="26"/>
  <c r="E75" i="26"/>
  <c r="J77" i="26"/>
  <c r="E15" i="26"/>
  <c r="E23" i="26"/>
  <c r="E33" i="26"/>
  <c r="J35" i="26"/>
  <c r="E41" i="26"/>
  <c r="J43" i="26"/>
  <c r="E49" i="26"/>
  <c r="J51" i="26"/>
  <c r="E57" i="26"/>
  <c r="J59" i="26"/>
  <c r="E65" i="26"/>
  <c r="J67" i="26"/>
  <c r="E73" i="26"/>
  <c r="J75" i="26"/>
  <c r="E81" i="26"/>
  <c r="E16" i="26"/>
  <c r="E24" i="26"/>
  <c r="J30" i="26"/>
  <c r="E36" i="26"/>
  <c r="J38" i="26"/>
  <c r="E44" i="26"/>
  <c r="J46" i="26"/>
  <c r="E52" i="26"/>
  <c r="J54" i="26"/>
  <c r="E60" i="26"/>
  <c r="J62" i="26"/>
  <c r="E68" i="26"/>
  <c r="J70" i="26"/>
  <c r="E76" i="26"/>
  <c r="J78" i="26"/>
  <c r="E17" i="26"/>
  <c r="E25" i="26"/>
  <c r="E31" i="26"/>
  <c r="J33" i="26"/>
  <c r="E39" i="26"/>
  <c r="J41" i="26"/>
  <c r="E47" i="26"/>
  <c r="J49" i="26"/>
  <c r="E55" i="26"/>
  <c r="J57" i="26"/>
  <c r="E63" i="26"/>
  <c r="J65" i="26"/>
  <c r="E71" i="26"/>
  <c r="J73" i="26"/>
  <c r="E79" i="26"/>
  <c r="J81" i="26"/>
  <c r="E18" i="26"/>
  <c r="E26" i="26"/>
  <c r="E34" i="26"/>
  <c r="J36" i="26"/>
  <c r="E42" i="26"/>
  <c r="J44" i="26"/>
  <c r="E50" i="26"/>
  <c r="J52" i="26"/>
  <c r="E58" i="26"/>
  <c r="J60" i="26"/>
  <c r="E66" i="26"/>
  <c r="J68" i="26"/>
  <c r="E74" i="26"/>
  <c r="J76" i="26"/>
  <c r="E82" i="26"/>
  <c r="E19" i="26"/>
  <c r="E27" i="26"/>
  <c r="J31" i="26"/>
  <c r="E37" i="26"/>
  <c r="J39" i="26"/>
  <c r="E45" i="26"/>
  <c r="J47" i="26"/>
  <c r="E53" i="26"/>
  <c r="J55" i="26"/>
  <c r="E61" i="26"/>
  <c r="J63" i="26"/>
  <c r="E69" i="26"/>
  <c r="J71" i="26"/>
  <c r="E77" i="26"/>
  <c r="J79" i="26"/>
  <c r="E20" i="26"/>
  <c r="E28" i="26"/>
  <c r="E32" i="26"/>
  <c r="J34" i="26"/>
  <c r="E40" i="26"/>
  <c r="J42" i="26"/>
  <c r="E48" i="26"/>
  <c r="J50" i="26"/>
  <c r="E56" i="26"/>
  <c r="J58" i="26"/>
  <c r="E64" i="26"/>
  <c r="J66" i="26"/>
  <c r="E72" i="26"/>
  <c r="J74" i="26"/>
  <c r="E80" i="26"/>
  <c r="BE224" i="25"/>
  <c r="BE42" i="25" s="1"/>
  <c r="BE30" i="25" s="1"/>
  <c r="AW224" i="25"/>
  <c r="AW42" i="25" s="1"/>
  <c r="AW30" i="25" s="1"/>
  <c r="AO224" i="25"/>
  <c r="AO42" i="25" s="1"/>
  <c r="AO30" i="25" s="1"/>
  <c r="AG224" i="25"/>
  <c r="AG42" i="25" s="1"/>
  <c r="AG30" i="25" s="1"/>
  <c r="Y224" i="25"/>
  <c r="Y42" i="25" s="1"/>
  <c r="Y30" i="25" s="1"/>
  <c r="Q224" i="25"/>
  <c r="Q42" i="25" s="1"/>
  <c r="Q30" i="25" s="1"/>
  <c r="BD224" i="25"/>
  <c r="BD42" i="25" s="1"/>
  <c r="BD30" i="25" s="1"/>
  <c r="AV224" i="25"/>
  <c r="AV42" i="25" s="1"/>
  <c r="AV30" i="25" s="1"/>
  <c r="AN224" i="25"/>
  <c r="AN42" i="25" s="1"/>
  <c r="AN30" i="25" s="1"/>
  <c r="AF224" i="25"/>
  <c r="AF42" i="25" s="1"/>
  <c r="AF30" i="25" s="1"/>
  <c r="X224" i="25"/>
  <c r="X42" i="25" s="1"/>
  <c r="X30" i="25" s="1"/>
  <c r="P224" i="25"/>
  <c r="P42" i="25" s="1"/>
  <c r="P30" i="25" s="1"/>
  <c r="BJ224" i="25"/>
  <c r="BJ42" i="25" s="1"/>
  <c r="BJ30" i="25" s="1"/>
  <c r="BB224" i="25"/>
  <c r="BB42" i="25" s="1"/>
  <c r="BB30" i="25" s="1"/>
  <c r="AT224" i="25"/>
  <c r="AT42" i="25" s="1"/>
  <c r="AT30" i="25" s="1"/>
  <c r="AL224" i="25"/>
  <c r="AL42" i="25" s="1"/>
  <c r="AL30" i="25" s="1"/>
  <c r="AD224" i="25"/>
  <c r="AD42" i="25" s="1"/>
  <c r="AD30" i="25" s="1"/>
  <c r="V224" i="25"/>
  <c r="V42" i="25" s="1"/>
  <c r="V30" i="25" s="1"/>
  <c r="N224" i="25"/>
  <c r="BI224" i="25"/>
  <c r="BI42" i="25" s="1"/>
  <c r="BI30" i="25" s="1"/>
  <c r="BA224" i="25"/>
  <c r="BA42" i="25" s="1"/>
  <c r="BA30" i="25" s="1"/>
  <c r="AS224" i="25"/>
  <c r="AS42" i="25" s="1"/>
  <c r="AS30" i="25" s="1"/>
  <c r="AK224" i="25"/>
  <c r="AK42" i="25" s="1"/>
  <c r="AK30" i="25" s="1"/>
  <c r="AC224" i="25"/>
  <c r="AC42" i="25" s="1"/>
  <c r="AC30" i="25" s="1"/>
  <c r="U224" i="25"/>
  <c r="U42" i="25" s="1"/>
  <c r="U30" i="25" s="1"/>
  <c r="BG224" i="25"/>
  <c r="BG42" i="25" s="1"/>
  <c r="BG30" i="25" s="1"/>
  <c r="AY224" i="25"/>
  <c r="AY42" i="25" s="1"/>
  <c r="AY30" i="25" s="1"/>
  <c r="AQ224" i="25"/>
  <c r="AQ42" i="25" s="1"/>
  <c r="AQ30" i="25" s="1"/>
  <c r="AI224" i="25"/>
  <c r="AI42" i="25" s="1"/>
  <c r="AI30" i="25" s="1"/>
  <c r="AA224" i="25"/>
  <c r="AA42" i="25" s="1"/>
  <c r="AA30" i="25" s="1"/>
  <c r="S224" i="25"/>
  <c r="S42" i="25" s="1"/>
  <c r="S30" i="25" s="1"/>
  <c r="BC224" i="25"/>
  <c r="BC42" i="25" s="1"/>
  <c r="BC30" i="25" s="1"/>
  <c r="AH224" i="25"/>
  <c r="AH42" i="25" s="1"/>
  <c r="AH30" i="25" s="1"/>
  <c r="AZ224" i="25"/>
  <c r="AZ42" i="25" s="1"/>
  <c r="AZ30" i="25" s="1"/>
  <c r="AE224" i="25"/>
  <c r="AE42" i="25" s="1"/>
  <c r="AE30" i="25" s="1"/>
  <c r="AX224" i="25"/>
  <c r="AX42" i="25" s="1"/>
  <c r="AX30" i="25" s="1"/>
  <c r="AB224" i="25"/>
  <c r="AB42" i="25" s="1"/>
  <c r="AB30" i="25" s="1"/>
  <c r="AU224" i="25"/>
  <c r="AU42" i="25" s="1"/>
  <c r="AU30" i="25" s="1"/>
  <c r="Z224" i="25"/>
  <c r="Z42" i="25" s="1"/>
  <c r="Z30" i="25" s="1"/>
  <c r="AR224" i="25"/>
  <c r="AR42" i="25" s="1"/>
  <c r="AR30" i="25" s="1"/>
  <c r="W224" i="25"/>
  <c r="W42" i="25" s="1"/>
  <c r="W30" i="25" s="1"/>
  <c r="AP224" i="25"/>
  <c r="AP42" i="25" s="1"/>
  <c r="AP30" i="25" s="1"/>
  <c r="T224" i="25"/>
  <c r="T42" i="25" s="1"/>
  <c r="T30" i="25" s="1"/>
  <c r="BH224" i="25"/>
  <c r="BH42" i="25" s="1"/>
  <c r="BH30" i="25" s="1"/>
  <c r="AM224" i="25"/>
  <c r="AM42" i="25" s="1"/>
  <c r="AM30" i="25" s="1"/>
  <c r="R224" i="25"/>
  <c r="R42" i="25" s="1"/>
  <c r="R30" i="25" s="1"/>
  <c r="BF224" i="25"/>
  <c r="BF42" i="25" s="1"/>
  <c r="BF30" i="25" s="1"/>
  <c r="AJ224" i="25"/>
  <c r="AJ42" i="25" s="1"/>
  <c r="AJ30" i="25" s="1"/>
  <c r="O224" i="25"/>
  <c r="O42" i="25" s="1"/>
  <c r="O30" i="25" s="1"/>
  <c r="G242" i="25"/>
  <c r="G257" i="25" s="1"/>
  <c r="D258" i="25"/>
  <c r="L258" i="25"/>
  <c r="I115" i="25"/>
  <c r="I241" i="25" s="1"/>
  <c r="I247" i="25" s="1"/>
  <c r="K133" i="25"/>
  <c r="K244" i="25" s="1"/>
  <c r="S211" i="25"/>
  <c r="S188" i="25"/>
  <c r="S189" i="25"/>
  <c r="S187" i="25"/>
  <c r="S133" i="25"/>
  <c r="AA211" i="25"/>
  <c r="AA188" i="25"/>
  <c r="AA189" i="25"/>
  <c r="AA187" i="25"/>
  <c r="AA133" i="25"/>
  <c r="AI211" i="25"/>
  <c r="AI188" i="25"/>
  <c r="AI189" i="25"/>
  <c r="AI187" i="25"/>
  <c r="AI133" i="25"/>
  <c r="AQ211" i="25"/>
  <c r="AQ188" i="25"/>
  <c r="AQ189" i="25"/>
  <c r="AQ187" i="25"/>
  <c r="AQ214" i="25" s="1"/>
  <c r="AQ140" i="25" s="1"/>
  <c r="AQ151" i="25" s="1"/>
  <c r="AQ133" i="25"/>
  <c r="AY211" i="25"/>
  <c r="AY188" i="25"/>
  <c r="AY189" i="25"/>
  <c r="AY187" i="25"/>
  <c r="AY133" i="25"/>
  <c r="BG211" i="25"/>
  <c r="BG188" i="25"/>
  <c r="BG189" i="25"/>
  <c r="BG187" i="25"/>
  <c r="BG133" i="25"/>
  <c r="P201" i="25"/>
  <c r="P200" i="25"/>
  <c r="P199" i="25"/>
  <c r="X201" i="25"/>
  <c r="X200" i="25"/>
  <c r="X199" i="25"/>
  <c r="AF201" i="25"/>
  <c r="AF199" i="25"/>
  <c r="AF200" i="25"/>
  <c r="AN201" i="25"/>
  <c r="AN199" i="25"/>
  <c r="AN200" i="25"/>
  <c r="AV201" i="25"/>
  <c r="AV199" i="25"/>
  <c r="AV200" i="25"/>
  <c r="AV202" i="25" s="1"/>
  <c r="AV138" i="25" s="1"/>
  <c r="AV149" i="25" s="1"/>
  <c r="BD201" i="25"/>
  <c r="BD199" i="25"/>
  <c r="BD200" i="25"/>
  <c r="BD202" i="25" s="1"/>
  <c r="BD138" i="25" s="1"/>
  <c r="BD149" i="25" s="1"/>
  <c r="U221" i="25"/>
  <c r="U222" i="25" s="1"/>
  <c r="U223" i="25"/>
  <c r="AC221" i="25"/>
  <c r="AC222" i="25" s="1"/>
  <c r="AC223" i="25"/>
  <c r="AK221" i="25"/>
  <c r="AK222" i="25" s="1"/>
  <c r="AK223" i="25"/>
  <c r="AS221" i="25"/>
  <c r="AS222" i="25" s="1"/>
  <c r="AS223" i="25"/>
  <c r="BA221" i="25"/>
  <c r="BA222" i="25" s="1"/>
  <c r="BA223" i="25"/>
  <c r="R229" i="25"/>
  <c r="R39" i="25" s="1"/>
  <c r="R27" i="25" s="1"/>
  <c r="R228" i="25"/>
  <c r="Z229" i="25"/>
  <c r="Z39" i="25" s="1"/>
  <c r="Z27" i="25" s="1"/>
  <c r="Z228" i="25"/>
  <c r="AH229" i="25"/>
  <c r="AH39" i="25" s="1"/>
  <c r="AH27" i="25" s="1"/>
  <c r="AH228" i="25"/>
  <c r="AP229" i="25"/>
  <c r="AP39" i="25" s="1"/>
  <c r="AP27" i="25" s="1"/>
  <c r="AP228" i="25"/>
  <c r="AX229" i="25"/>
  <c r="AX39" i="25" s="1"/>
  <c r="AX27" i="25" s="1"/>
  <c r="AX228" i="25"/>
  <c r="BF229" i="25"/>
  <c r="BF39" i="25" s="1"/>
  <c r="BF27" i="25" s="1"/>
  <c r="BF228" i="25"/>
  <c r="O235" i="25"/>
  <c r="O43" i="25" s="1"/>
  <c r="O31" i="25" s="1"/>
  <c r="O234" i="25"/>
  <c r="W235" i="25"/>
  <c r="W43" i="25" s="1"/>
  <c r="W31" i="25" s="1"/>
  <c r="W234" i="25"/>
  <c r="AE235" i="25"/>
  <c r="AE43" i="25" s="1"/>
  <c r="AE31" i="25" s="1"/>
  <c r="AE234" i="25"/>
  <c r="AM235" i="25"/>
  <c r="AM43" i="25" s="1"/>
  <c r="AM31" i="25" s="1"/>
  <c r="AM234" i="25"/>
  <c r="AU235" i="25"/>
  <c r="AU43" i="25" s="1"/>
  <c r="AU31" i="25" s="1"/>
  <c r="AU234" i="25"/>
  <c r="BC235" i="25"/>
  <c r="BC43" i="25" s="1"/>
  <c r="BC31" i="25" s="1"/>
  <c r="BC234" i="25"/>
  <c r="H242" i="25"/>
  <c r="H257" i="25" s="1"/>
  <c r="E258" i="25"/>
  <c r="M258" i="25"/>
  <c r="J115" i="25"/>
  <c r="J241" i="25" s="1"/>
  <c r="T211" i="25"/>
  <c r="T188" i="25"/>
  <c r="T189" i="25"/>
  <c r="T187" i="25"/>
  <c r="AB211" i="25"/>
  <c r="AB188" i="25"/>
  <c r="AB214" i="25" s="1"/>
  <c r="AB140" i="25" s="1"/>
  <c r="AB151" i="25" s="1"/>
  <c r="AB189" i="25"/>
  <c r="AB187" i="25"/>
  <c r="AJ211" i="25"/>
  <c r="AJ188" i="25"/>
  <c r="AJ189" i="25"/>
  <c r="AJ187" i="25"/>
  <c r="AR211" i="25"/>
  <c r="AR188" i="25"/>
  <c r="AR189" i="25"/>
  <c r="AR187" i="25"/>
  <c r="AZ211" i="25"/>
  <c r="AZ188" i="25"/>
  <c r="AZ189" i="25"/>
  <c r="AZ187" i="25"/>
  <c r="BH211" i="25"/>
  <c r="BH188" i="25"/>
  <c r="BH189" i="25"/>
  <c r="BH187" i="25"/>
  <c r="Q201" i="25"/>
  <c r="Q199" i="25"/>
  <c r="Q200" i="25"/>
  <c r="Y201" i="25"/>
  <c r="Y200" i="25"/>
  <c r="Y199" i="25"/>
  <c r="AG201" i="25"/>
  <c r="AG199" i="25"/>
  <c r="AG200" i="25"/>
  <c r="AO201" i="25"/>
  <c r="AO199" i="25"/>
  <c r="AO200" i="25"/>
  <c r="AW201" i="25"/>
  <c r="AW199" i="25"/>
  <c r="AW200" i="25"/>
  <c r="BE201" i="25"/>
  <c r="BE199" i="25"/>
  <c r="BE200" i="25"/>
  <c r="BE202" i="25" s="1"/>
  <c r="BE138" i="25" s="1"/>
  <c r="BE149" i="25" s="1"/>
  <c r="N221" i="25"/>
  <c r="N222" i="25" s="1"/>
  <c r="N223" i="25"/>
  <c r="V221" i="25"/>
  <c r="V222" i="25" s="1"/>
  <c r="V223" i="25"/>
  <c r="AD221" i="25"/>
  <c r="AD222" i="25" s="1"/>
  <c r="AD223" i="25"/>
  <c r="AL221" i="25"/>
  <c r="AL222" i="25" s="1"/>
  <c r="AL223" i="25"/>
  <c r="AT221" i="25"/>
  <c r="AT222" i="25" s="1"/>
  <c r="AT223" i="25"/>
  <c r="BB221" i="25"/>
  <c r="BB222" i="25" s="1"/>
  <c r="BB223" i="25"/>
  <c r="S228" i="25"/>
  <c r="S229" i="25"/>
  <c r="S39" i="25" s="1"/>
  <c r="S27" i="25" s="1"/>
  <c r="AA228" i="25"/>
  <c r="AA229" i="25"/>
  <c r="AA39" i="25" s="1"/>
  <c r="AA27" i="25" s="1"/>
  <c r="AI228" i="25"/>
  <c r="AI229" i="25"/>
  <c r="AI39" i="25" s="1"/>
  <c r="AI27" i="25" s="1"/>
  <c r="AQ228" i="25"/>
  <c r="AQ229" i="25"/>
  <c r="AQ39" i="25" s="1"/>
  <c r="AQ27" i="25" s="1"/>
  <c r="AY229" i="25"/>
  <c r="AY39" i="25" s="1"/>
  <c r="AY27" i="25" s="1"/>
  <c r="AY228" i="25"/>
  <c r="BG229" i="25"/>
  <c r="BG39" i="25" s="1"/>
  <c r="BG27" i="25" s="1"/>
  <c r="BG228" i="25"/>
  <c r="P235" i="25"/>
  <c r="P43" i="25" s="1"/>
  <c r="P31" i="25" s="1"/>
  <c r="P234" i="25"/>
  <c r="X235" i="25"/>
  <c r="X43" i="25" s="1"/>
  <c r="X31" i="25" s="1"/>
  <c r="X234" i="25"/>
  <c r="AF235" i="25"/>
  <c r="AF43" i="25" s="1"/>
  <c r="AF31" i="25" s="1"/>
  <c r="AF234" i="25"/>
  <c r="AN235" i="25"/>
  <c r="AN43" i="25" s="1"/>
  <c r="AN31" i="25" s="1"/>
  <c r="AN234" i="25"/>
  <c r="AV235" i="25"/>
  <c r="AV43" i="25" s="1"/>
  <c r="AV31" i="25" s="1"/>
  <c r="AV234" i="25"/>
  <c r="AR133" i="25"/>
  <c r="I242" i="25"/>
  <c r="I257" i="25" s="1"/>
  <c r="F258" i="25"/>
  <c r="M133" i="25"/>
  <c r="M244" i="25" s="1"/>
  <c r="U211" i="25"/>
  <c r="U188" i="25"/>
  <c r="U189" i="25"/>
  <c r="U133" i="25"/>
  <c r="U187" i="25"/>
  <c r="AC211" i="25"/>
  <c r="AC188" i="25"/>
  <c r="AC189" i="25"/>
  <c r="AC187" i="25"/>
  <c r="AC133" i="25"/>
  <c r="AK213" i="25"/>
  <c r="AK211" i="25"/>
  <c r="AK188" i="25"/>
  <c r="AK189" i="25"/>
  <c r="AK133" i="25"/>
  <c r="AS211" i="25"/>
  <c r="AS213" i="25"/>
  <c r="AS188" i="25"/>
  <c r="AS133" i="25"/>
  <c r="AS187" i="25"/>
  <c r="BA211" i="25"/>
  <c r="BA188" i="25"/>
  <c r="BA133" i="25"/>
  <c r="BA187" i="25"/>
  <c r="BA189" i="25"/>
  <c r="BI211" i="25"/>
  <c r="BI213" i="25"/>
  <c r="BI188" i="25"/>
  <c r="BI133" i="25"/>
  <c r="BI187" i="25"/>
  <c r="BI189" i="25"/>
  <c r="R200" i="25"/>
  <c r="R201" i="25"/>
  <c r="R199" i="25"/>
  <c r="Z200" i="25"/>
  <c r="Z202" i="25" s="1"/>
  <c r="Z138" i="25" s="1"/>
  <c r="Z149" i="25" s="1"/>
  <c r="Z201" i="25"/>
  <c r="Z199" i="25"/>
  <c r="AH200" i="25"/>
  <c r="AH199" i="25"/>
  <c r="AH201" i="25"/>
  <c r="AP200" i="25"/>
  <c r="AP199" i="25"/>
  <c r="AP201" i="25"/>
  <c r="AP203" i="25" s="1"/>
  <c r="AP139" i="25" s="1"/>
  <c r="AP150" i="25" s="1"/>
  <c r="AX200" i="25"/>
  <c r="AX199" i="25"/>
  <c r="AX201" i="25"/>
  <c r="BF200" i="25"/>
  <c r="BF201" i="25"/>
  <c r="BF199" i="25"/>
  <c r="O221" i="25"/>
  <c r="O222" i="25" s="1"/>
  <c r="O223" i="25"/>
  <c r="W221" i="25"/>
  <c r="W222" i="25" s="1"/>
  <c r="W223" i="25"/>
  <c r="AE221" i="25"/>
  <c r="AE222" i="25" s="1"/>
  <c r="AE223" i="25"/>
  <c r="AM221" i="25"/>
  <c r="AM222" i="25" s="1"/>
  <c r="AM223" i="25"/>
  <c r="AU221" i="25"/>
  <c r="AU222" i="25" s="1"/>
  <c r="AU223" i="25"/>
  <c r="T229" i="25"/>
  <c r="T39" i="25" s="1"/>
  <c r="T27" i="25" s="1"/>
  <c r="T228" i="25"/>
  <c r="AB229" i="25"/>
  <c r="AB39" i="25" s="1"/>
  <c r="AB27" i="25" s="1"/>
  <c r="AB228" i="25"/>
  <c r="AJ229" i="25"/>
  <c r="AJ39" i="25" s="1"/>
  <c r="AJ27" i="25" s="1"/>
  <c r="AJ228" i="25"/>
  <c r="AR229" i="25"/>
  <c r="AR39" i="25" s="1"/>
  <c r="AR27" i="25" s="1"/>
  <c r="AR228" i="25"/>
  <c r="AZ228" i="25"/>
  <c r="AZ229" i="25"/>
  <c r="AZ39" i="25" s="1"/>
  <c r="AZ27" i="25" s="1"/>
  <c r="BH229" i="25"/>
  <c r="BH39" i="25" s="1"/>
  <c r="BH27" i="25" s="1"/>
  <c r="BH228" i="25"/>
  <c r="Q234" i="25"/>
  <c r="Q235" i="25"/>
  <c r="Q43" i="25" s="1"/>
  <c r="Q31" i="25" s="1"/>
  <c r="Y234" i="25"/>
  <c r="Y235" i="25"/>
  <c r="Y43" i="25" s="1"/>
  <c r="Y31" i="25" s="1"/>
  <c r="AG234" i="25"/>
  <c r="AG235" i="25"/>
  <c r="AG43" i="25" s="1"/>
  <c r="AG31" i="25" s="1"/>
  <c r="AO234" i="25"/>
  <c r="AO235" i="25"/>
  <c r="AO43" i="25" s="1"/>
  <c r="AO31" i="25" s="1"/>
  <c r="AW234" i="25"/>
  <c r="AW235" i="25"/>
  <c r="AW43" i="25" s="1"/>
  <c r="AW31" i="25" s="1"/>
  <c r="T133" i="25"/>
  <c r="AK187" i="25"/>
  <c r="J242" i="25"/>
  <c r="J257" i="25" s="1"/>
  <c r="G258" i="25"/>
  <c r="D115" i="25"/>
  <c r="D241" i="25" s="1"/>
  <c r="D247" i="25" s="1"/>
  <c r="L115" i="25"/>
  <c r="L241" i="25" s="1"/>
  <c r="F133" i="25"/>
  <c r="F244" i="25" s="1"/>
  <c r="N211" i="25"/>
  <c r="N189" i="25"/>
  <c r="N187" i="25"/>
  <c r="N188" i="25"/>
  <c r="N133" i="25"/>
  <c r="V211" i="25"/>
  <c r="V189" i="25"/>
  <c r="V187" i="25"/>
  <c r="V188" i="25"/>
  <c r="V133" i="25"/>
  <c r="AD211" i="25"/>
  <c r="AD189" i="25"/>
  <c r="AD187" i="25"/>
  <c r="AD188" i="25"/>
  <c r="AD133" i="25"/>
  <c r="AL211" i="25"/>
  <c r="AL189" i="25"/>
  <c r="AL187" i="25"/>
  <c r="AL188" i="25"/>
  <c r="AL133" i="25"/>
  <c r="AT211" i="25"/>
  <c r="AT189" i="25"/>
  <c r="AT187" i="25"/>
  <c r="AT188" i="25"/>
  <c r="AT133" i="25"/>
  <c r="BB211" i="25"/>
  <c r="BB189" i="25"/>
  <c r="BB187" i="25"/>
  <c r="BB188" i="25"/>
  <c r="BB133" i="25"/>
  <c r="BJ211" i="25"/>
  <c r="BJ189" i="25"/>
  <c r="BJ187" i="25"/>
  <c r="BJ188" i="25"/>
  <c r="BJ133" i="25"/>
  <c r="S200" i="25"/>
  <c r="S199" i="25"/>
  <c r="S201" i="25"/>
  <c r="AA200" i="25"/>
  <c r="AA201" i="25"/>
  <c r="AA199" i="25"/>
  <c r="AI200" i="25"/>
  <c r="AI199" i="25"/>
  <c r="AI201" i="25"/>
  <c r="AQ200" i="25"/>
  <c r="AQ201" i="25"/>
  <c r="AQ199" i="25"/>
  <c r="AY200" i="25"/>
  <c r="AY199" i="25"/>
  <c r="AY201" i="25"/>
  <c r="AY203" i="25" s="1"/>
  <c r="AY139" i="25" s="1"/>
  <c r="AY150" i="25" s="1"/>
  <c r="BG200" i="25"/>
  <c r="BG202" i="25" s="1"/>
  <c r="BG138" i="25" s="1"/>
  <c r="BG149" i="25" s="1"/>
  <c r="BG201" i="25"/>
  <c r="BG199" i="25"/>
  <c r="P223" i="25"/>
  <c r="P221" i="25"/>
  <c r="P222" i="25" s="1"/>
  <c r="X223" i="25"/>
  <c r="X221" i="25"/>
  <c r="X222" i="25" s="1"/>
  <c r="AF223" i="25"/>
  <c r="AF221" i="25"/>
  <c r="AF222" i="25" s="1"/>
  <c r="AN223" i="25"/>
  <c r="AN221" i="25"/>
  <c r="AN222" i="25" s="1"/>
  <c r="AV223" i="25"/>
  <c r="AV221" i="25"/>
  <c r="AV222" i="25" s="1"/>
  <c r="U229" i="25"/>
  <c r="U39" i="25" s="1"/>
  <c r="U27" i="25" s="1"/>
  <c r="U228" i="25"/>
  <c r="AC229" i="25"/>
  <c r="AC39" i="25" s="1"/>
  <c r="AC27" i="25" s="1"/>
  <c r="AC228" i="25"/>
  <c r="AK229" i="25"/>
  <c r="AK39" i="25" s="1"/>
  <c r="AK27" i="25" s="1"/>
  <c r="AK228" i="25"/>
  <c r="AS229" i="25"/>
  <c r="AS39" i="25" s="1"/>
  <c r="AS27" i="25" s="1"/>
  <c r="AS228" i="25"/>
  <c r="BA229" i="25"/>
  <c r="BA39" i="25" s="1"/>
  <c r="BA27" i="25" s="1"/>
  <c r="BA228" i="25"/>
  <c r="BI229" i="25"/>
  <c r="BI39" i="25" s="1"/>
  <c r="BI27" i="25" s="1"/>
  <c r="BI228" i="25"/>
  <c r="R235" i="25"/>
  <c r="R43" i="25" s="1"/>
  <c r="R31" i="25" s="1"/>
  <c r="R234" i="25"/>
  <c r="Z235" i="25"/>
  <c r="Z43" i="25" s="1"/>
  <c r="Z31" i="25" s="1"/>
  <c r="Z234" i="25"/>
  <c r="AH235" i="25"/>
  <c r="AH43" i="25" s="1"/>
  <c r="AH31" i="25" s="1"/>
  <c r="AH234" i="25"/>
  <c r="AP235" i="25"/>
  <c r="AP43" i="25" s="1"/>
  <c r="AP31" i="25" s="1"/>
  <c r="AP234" i="25"/>
  <c r="AX235" i="25"/>
  <c r="AX43" i="25" s="1"/>
  <c r="AX31" i="25" s="1"/>
  <c r="AX234" i="25"/>
  <c r="BF235" i="25"/>
  <c r="BF43" i="25" s="1"/>
  <c r="BF31" i="25" s="1"/>
  <c r="BF234" i="25"/>
  <c r="AH133" i="25"/>
  <c r="BH133" i="25"/>
  <c r="K242" i="25"/>
  <c r="K257" i="25" s="1"/>
  <c r="H258" i="25"/>
  <c r="E115" i="25"/>
  <c r="E241" i="25" s="1"/>
  <c r="E247" i="25" s="1"/>
  <c r="M115" i="25"/>
  <c r="M241" i="25" s="1"/>
  <c r="O211" i="25"/>
  <c r="O189" i="25"/>
  <c r="O187" i="25"/>
  <c r="O188" i="25"/>
  <c r="W211" i="25"/>
  <c r="W189" i="25"/>
  <c r="W187" i="25"/>
  <c r="W188" i="25"/>
  <c r="AE211" i="25"/>
  <c r="AE189" i="25"/>
  <c r="AE187" i="25"/>
  <c r="AE188" i="25"/>
  <c r="AM211" i="25"/>
  <c r="AM189" i="25"/>
  <c r="AM187" i="25"/>
  <c r="AM188" i="25"/>
  <c r="AU211" i="25"/>
  <c r="AU189" i="25"/>
  <c r="AU187" i="25"/>
  <c r="AU188" i="25"/>
  <c r="BC211" i="25"/>
  <c r="BC189" i="25"/>
  <c r="BC187" i="25"/>
  <c r="BC188" i="25"/>
  <c r="T200" i="25"/>
  <c r="T212" i="25"/>
  <c r="T199" i="25"/>
  <c r="T201" i="25"/>
  <c r="AB200" i="25"/>
  <c r="AB212" i="25"/>
  <c r="AB201" i="25"/>
  <c r="AB203" i="25" s="1"/>
  <c r="AB139" i="25" s="1"/>
  <c r="AB150" i="25" s="1"/>
  <c r="AB199" i="25"/>
  <c r="AJ200" i="25"/>
  <c r="AJ202" i="25" s="1"/>
  <c r="AJ138" i="25" s="1"/>
  <c r="AJ149" i="25" s="1"/>
  <c r="AJ212" i="25"/>
  <c r="AJ201" i="25"/>
  <c r="AJ199" i="25"/>
  <c r="AR212" i="25"/>
  <c r="AR200" i="25"/>
  <c r="AR201" i="25"/>
  <c r="AR199" i="25"/>
  <c r="AZ200" i="25"/>
  <c r="AZ212" i="25"/>
  <c r="AZ199" i="25"/>
  <c r="AZ201" i="25"/>
  <c r="BH200" i="25"/>
  <c r="BH201" i="25"/>
  <c r="BH199" i="25"/>
  <c r="Q223" i="25"/>
  <c r="Q221" i="25"/>
  <c r="Q222" i="25" s="1"/>
  <c r="Y223" i="25"/>
  <c r="Y221" i="25"/>
  <c r="Y222" i="25" s="1"/>
  <c r="AG223" i="25"/>
  <c r="AG221" i="25"/>
  <c r="AG222" i="25" s="1"/>
  <c r="AO223" i="25"/>
  <c r="AO221" i="25"/>
  <c r="AO222" i="25" s="1"/>
  <c r="AW223" i="25"/>
  <c r="AW221" i="25"/>
  <c r="AW222" i="25" s="1"/>
  <c r="N228" i="25"/>
  <c r="N229" i="25"/>
  <c r="V228" i="25"/>
  <c r="V229" i="25"/>
  <c r="V39" i="25" s="1"/>
  <c r="V27" i="25" s="1"/>
  <c r="AD228" i="25"/>
  <c r="AD229" i="25"/>
  <c r="AD39" i="25" s="1"/>
  <c r="AD27" i="25" s="1"/>
  <c r="AL228" i="25"/>
  <c r="AL229" i="25"/>
  <c r="AL39" i="25" s="1"/>
  <c r="AL27" i="25" s="1"/>
  <c r="AT228" i="25"/>
  <c r="AT229" i="25"/>
  <c r="AT39" i="25" s="1"/>
  <c r="AT27" i="25" s="1"/>
  <c r="BB229" i="25"/>
  <c r="BB39" i="25" s="1"/>
  <c r="BB27" i="25" s="1"/>
  <c r="BB228" i="25"/>
  <c r="BJ229" i="25"/>
  <c r="BJ39" i="25" s="1"/>
  <c r="BJ27" i="25" s="1"/>
  <c r="BJ228" i="25"/>
  <c r="S234" i="25"/>
  <c r="S235" i="25"/>
  <c r="S43" i="25" s="1"/>
  <c r="S31" i="25" s="1"/>
  <c r="AA234" i="25"/>
  <c r="AA235" i="25"/>
  <c r="AA43" i="25" s="1"/>
  <c r="AA31" i="25" s="1"/>
  <c r="AI234" i="25"/>
  <c r="AI235" i="25"/>
  <c r="AI43" i="25" s="1"/>
  <c r="AI31" i="25" s="1"/>
  <c r="AQ234" i="25"/>
  <c r="AQ235" i="25"/>
  <c r="AQ43" i="25" s="1"/>
  <c r="AQ31" i="25" s="1"/>
  <c r="AY234" i="25"/>
  <c r="AY235" i="25"/>
  <c r="AY43" i="25" s="1"/>
  <c r="AY31" i="25" s="1"/>
  <c r="BG234" i="25"/>
  <c r="BG235" i="25"/>
  <c r="BG43" i="25" s="1"/>
  <c r="BG31" i="25" s="1"/>
  <c r="AJ133" i="25"/>
  <c r="G170" i="25"/>
  <c r="O170" i="25"/>
  <c r="O178" i="25" s="1"/>
  <c r="O179" i="25" s="1"/>
  <c r="P62" i="27" s="1"/>
  <c r="P51" i="27" s="1"/>
  <c r="P43" i="27" s="1"/>
  <c r="W170" i="25"/>
  <c r="W178" i="25" s="1"/>
  <c r="W179" i="25" s="1"/>
  <c r="X62" i="27" s="1"/>
  <c r="X51" i="27" s="1"/>
  <c r="X43" i="27" s="1"/>
  <c r="AE170" i="25"/>
  <c r="AE178" i="25" s="1"/>
  <c r="AE179" i="25" s="1"/>
  <c r="AF62" i="27" s="1"/>
  <c r="AF51" i="27" s="1"/>
  <c r="AF43" i="27" s="1"/>
  <c r="AM170" i="25"/>
  <c r="AM178" i="25" s="1"/>
  <c r="AM179" i="25" s="1"/>
  <c r="AN62" i="27" s="1"/>
  <c r="AN51" i="27" s="1"/>
  <c r="AN43" i="27" s="1"/>
  <c r="BC170" i="25"/>
  <c r="BC178" i="25" s="1"/>
  <c r="BC179" i="25" s="1"/>
  <c r="BD62" i="27" s="1"/>
  <c r="BD51" i="27" s="1"/>
  <c r="BD43" i="27" s="1"/>
  <c r="BK170" i="25"/>
  <c r="AS189" i="25"/>
  <c r="AS215" i="25" s="1"/>
  <c r="AS141" i="25" s="1"/>
  <c r="AS152" i="25" s="1"/>
  <c r="D242" i="25"/>
  <c r="D257" i="25" s="1"/>
  <c r="L242" i="25"/>
  <c r="L257" i="25" s="1"/>
  <c r="I258" i="25"/>
  <c r="F115" i="25"/>
  <c r="F241" i="25" s="1"/>
  <c r="P211" i="25"/>
  <c r="P189" i="25"/>
  <c r="P187" i="25"/>
  <c r="P188" i="25"/>
  <c r="X211" i="25"/>
  <c r="X189" i="25"/>
  <c r="X187" i="25"/>
  <c r="X188" i="25"/>
  <c r="AF211" i="25"/>
  <c r="AF189" i="25"/>
  <c r="AF187" i="25"/>
  <c r="AF188" i="25"/>
  <c r="AN211" i="25"/>
  <c r="AN189" i="25"/>
  <c r="AN187" i="25"/>
  <c r="AN188" i="25"/>
  <c r="AV211" i="25"/>
  <c r="AV189" i="25"/>
  <c r="AV187" i="25"/>
  <c r="AV188" i="25"/>
  <c r="BD211" i="25"/>
  <c r="BD189" i="25"/>
  <c r="BD187" i="25"/>
  <c r="BD188" i="25"/>
  <c r="U200" i="25"/>
  <c r="U199" i="25"/>
  <c r="U201" i="25"/>
  <c r="AC200" i="25"/>
  <c r="AC202" i="25" s="1"/>
  <c r="AC138" i="25" s="1"/>
  <c r="AC149" i="25" s="1"/>
  <c r="AC201" i="25"/>
  <c r="AC199" i="25"/>
  <c r="AK200" i="25"/>
  <c r="AK199" i="25"/>
  <c r="AK201" i="25"/>
  <c r="AS200" i="25"/>
  <c r="AS202" i="25" s="1"/>
  <c r="AS138" i="25" s="1"/>
  <c r="AS149" i="25" s="1"/>
  <c r="AS201" i="25"/>
  <c r="AS199" i="25"/>
  <c r="BA200" i="25"/>
  <c r="BA199" i="25"/>
  <c r="BI200" i="25"/>
  <c r="BI201" i="25"/>
  <c r="BI199" i="25"/>
  <c r="R221" i="25"/>
  <c r="R222" i="25" s="1"/>
  <c r="R223" i="25"/>
  <c r="Z221" i="25"/>
  <c r="Z222" i="25" s="1"/>
  <c r="Z223" i="25"/>
  <c r="AH221" i="25"/>
  <c r="AH222" i="25" s="1"/>
  <c r="AH223" i="25"/>
  <c r="AP221" i="25"/>
  <c r="AP222" i="25" s="1"/>
  <c r="AP223" i="25"/>
  <c r="AX221" i="25"/>
  <c r="AX222" i="25" s="1"/>
  <c r="AX223" i="25"/>
  <c r="O229" i="25"/>
  <c r="O39" i="25" s="1"/>
  <c r="O27" i="25" s="1"/>
  <c r="O228" i="25"/>
  <c r="W229" i="25"/>
  <c r="W39" i="25" s="1"/>
  <c r="W27" i="25" s="1"/>
  <c r="W228" i="25"/>
  <c r="AE229" i="25"/>
  <c r="AE39" i="25" s="1"/>
  <c r="AE27" i="25" s="1"/>
  <c r="AE228" i="25"/>
  <c r="AM229" i="25"/>
  <c r="AM39" i="25" s="1"/>
  <c r="AM27" i="25" s="1"/>
  <c r="AM228" i="25"/>
  <c r="AU229" i="25"/>
  <c r="AU39" i="25" s="1"/>
  <c r="AU27" i="25" s="1"/>
  <c r="AU228" i="25"/>
  <c r="BC229" i="25"/>
  <c r="BC39" i="25" s="1"/>
  <c r="BC27" i="25" s="1"/>
  <c r="BC228" i="25"/>
  <c r="T235" i="25"/>
  <c r="T43" i="25" s="1"/>
  <c r="T31" i="25" s="1"/>
  <c r="T234" i="25"/>
  <c r="AB235" i="25"/>
  <c r="AB43" i="25" s="1"/>
  <c r="AB31" i="25" s="1"/>
  <c r="AB234" i="25"/>
  <c r="AJ235" i="25"/>
  <c r="AJ43" i="25" s="1"/>
  <c r="AJ31" i="25" s="1"/>
  <c r="AJ234" i="25"/>
  <c r="AR235" i="25"/>
  <c r="AR43" i="25" s="1"/>
  <c r="AR31" i="25" s="1"/>
  <c r="AR234" i="25"/>
  <c r="AZ235" i="25"/>
  <c r="AZ43" i="25" s="1"/>
  <c r="AZ31" i="25" s="1"/>
  <c r="AZ234" i="25"/>
  <c r="BH235" i="25"/>
  <c r="BH43" i="25" s="1"/>
  <c r="BH31" i="25" s="1"/>
  <c r="BH234" i="25"/>
  <c r="L133" i="25"/>
  <c r="L244" i="25" s="1"/>
  <c r="AM133" i="25"/>
  <c r="BA201" i="25"/>
  <c r="E242" i="25"/>
  <c r="E257" i="25" s="1"/>
  <c r="M242" i="25"/>
  <c r="M257" i="25" s="1"/>
  <c r="M196" i="25"/>
  <c r="J258" i="25"/>
  <c r="G115" i="25"/>
  <c r="G241" i="25" s="1"/>
  <c r="Q211" i="25"/>
  <c r="Q189" i="25"/>
  <c r="Q187" i="25"/>
  <c r="Q188" i="25"/>
  <c r="Q215" i="25" s="1"/>
  <c r="Q141" i="25" s="1"/>
  <c r="Q152" i="25" s="1"/>
  <c r="Y211" i="25"/>
  <c r="Y189" i="25"/>
  <c r="Y187" i="25"/>
  <c r="Y188" i="25"/>
  <c r="AG211" i="25"/>
  <c r="AG189" i="25"/>
  <c r="AG187" i="25"/>
  <c r="AG188" i="25"/>
  <c r="AO211" i="25"/>
  <c r="AO189" i="25"/>
  <c r="AO187" i="25"/>
  <c r="AO190" i="25" s="1"/>
  <c r="AW211" i="25"/>
  <c r="AW189" i="25"/>
  <c r="AW187" i="25"/>
  <c r="AW188" i="25"/>
  <c r="BE211" i="25"/>
  <c r="BE189" i="25"/>
  <c r="BE187" i="25"/>
  <c r="BE188" i="25"/>
  <c r="N201" i="25"/>
  <c r="N212" i="25"/>
  <c r="N199" i="25"/>
  <c r="N200" i="25"/>
  <c r="V201" i="25"/>
  <c r="V212" i="25"/>
  <c r="V199" i="25"/>
  <c r="V200" i="25"/>
  <c r="AD201" i="25"/>
  <c r="AD212" i="25"/>
  <c r="AD214" i="25" s="1"/>
  <c r="AD140" i="25" s="1"/>
  <c r="AD151" i="25" s="1"/>
  <c r="AD199" i="25"/>
  <c r="AD200" i="25"/>
  <c r="AL201" i="25"/>
  <c r="AL212" i="25"/>
  <c r="AL199" i="25"/>
  <c r="AL200" i="25"/>
  <c r="AT201" i="25"/>
  <c r="AT199" i="25"/>
  <c r="AT200" i="25"/>
  <c r="BB201" i="25"/>
  <c r="BB199" i="25"/>
  <c r="BB200" i="25"/>
  <c r="BJ201" i="25"/>
  <c r="BJ199" i="25"/>
  <c r="BJ200" i="25"/>
  <c r="S223" i="25"/>
  <c r="S221" i="25"/>
  <c r="S222" i="25" s="1"/>
  <c r="AA223" i="25"/>
  <c r="AA221" i="25"/>
  <c r="AA222" i="25" s="1"/>
  <c r="AI223" i="25"/>
  <c r="AI221" i="25"/>
  <c r="AI222" i="25" s="1"/>
  <c r="AQ223" i="25"/>
  <c r="AQ221" i="25"/>
  <c r="AQ222" i="25" s="1"/>
  <c r="AY223" i="25"/>
  <c r="AY221" i="25"/>
  <c r="AY222" i="25" s="1"/>
  <c r="P228" i="25"/>
  <c r="P229" i="25"/>
  <c r="P39" i="25" s="1"/>
  <c r="P27" i="25" s="1"/>
  <c r="X228" i="25"/>
  <c r="X229" i="25"/>
  <c r="X39" i="25" s="1"/>
  <c r="X27" i="25" s="1"/>
  <c r="AF228" i="25"/>
  <c r="AF229" i="25"/>
  <c r="AF39" i="25" s="1"/>
  <c r="AF27" i="25" s="1"/>
  <c r="AN228" i="25"/>
  <c r="AN229" i="25"/>
  <c r="AN39" i="25" s="1"/>
  <c r="AN27" i="25" s="1"/>
  <c r="AV228" i="25"/>
  <c r="AV229" i="25"/>
  <c r="AV39" i="25" s="1"/>
  <c r="AV27" i="25" s="1"/>
  <c r="BD229" i="25"/>
  <c r="BD39" i="25" s="1"/>
  <c r="BD27" i="25" s="1"/>
  <c r="BD228" i="25"/>
  <c r="U234" i="25"/>
  <c r="U235" i="25"/>
  <c r="U43" i="25" s="1"/>
  <c r="U31" i="25" s="1"/>
  <c r="AC234" i="25"/>
  <c r="AC235" i="25"/>
  <c r="AC43" i="25" s="1"/>
  <c r="AC31" i="25" s="1"/>
  <c r="AK234" i="25"/>
  <c r="AK235" i="25"/>
  <c r="AK43" i="25" s="1"/>
  <c r="AK31" i="25" s="1"/>
  <c r="AS234" i="25"/>
  <c r="AS235" i="25"/>
  <c r="AS43" i="25" s="1"/>
  <c r="AS31" i="25" s="1"/>
  <c r="BA234" i="25"/>
  <c r="BA235" i="25"/>
  <c r="BA43" i="25" s="1"/>
  <c r="BA31" i="25" s="1"/>
  <c r="BI234" i="25"/>
  <c r="BI235" i="25"/>
  <c r="BI43" i="25" s="1"/>
  <c r="BI31" i="25" s="1"/>
  <c r="O133" i="25"/>
  <c r="AN133" i="25"/>
  <c r="AZ133" i="25"/>
  <c r="AG178" i="25"/>
  <c r="AG179" i="25" s="1"/>
  <c r="AH62" i="27" s="1"/>
  <c r="AH51" i="27" s="1"/>
  <c r="AH43" i="27" s="1"/>
  <c r="F242" i="25"/>
  <c r="F257" i="25" s="1"/>
  <c r="K258" i="25"/>
  <c r="H115" i="25"/>
  <c r="H241" i="25" s="1"/>
  <c r="R211" i="25"/>
  <c r="R188" i="25"/>
  <c r="R189" i="25"/>
  <c r="R187" i="25"/>
  <c r="Z211" i="25"/>
  <c r="Z188" i="25"/>
  <c r="Z189" i="25"/>
  <c r="Z187" i="25"/>
  <c r="AH211" i="25"/>
  <c r="AH188" i="25"/>
  <c r="AH189" i="25"/>
  <c r="AH187" i="25"/>
  <c r="AP211" i="25"/>
  <c r="AP188" i="25"/>
  <c r="AP215" i="25" s="1"/>
  <c r="AP141" i="25" s="1"/>
  <c r="AP152" i="25" s="1"/>
  <c r="AP189" i="25"/>
  <c r="AP187" i="25"/>
  <c r="AX211" i="25"/>
  <c r="AX188" i="25"/>
  <c r="AX189" i="25"/>
  <c r="AX187" i="25"/>
  <c r="BF211" i="25"/>
  <c r="BF188" i="25"/>
  <c r="BF189" i="25"/>
  <c r="BF187" i="25"/>
  <c r="O201" i="25"/>
  <c r="O200" i="25"/>
  <c r="O199" i="25"/>
  <c r="W201" i="25"/>
  <c r="W200" i="25"/>
  <c r="W199" i="25"/>
  <c r="AE201" i="25"/>
  <c r="AE200" i="25"/>
  <c r="AE199" i="25"/>
  <c r="AM201" i="25"/>
  <c r="AM199" i="25"/>
  <c r="AM200" i="25"/>
  <c r="AU201" i="25"/>
  <c r="AU200" i="25"/>
  <c r="BC201" i="25"/>
  <c r="BC199" i="25"/>
  <c r="BC200" i="25"/>
  <c r="T223" i="25"/>
  <c r="T221" i="25"/>
  <c r="T222" i="25" s="1"/>
  <c r="AB223" i="25"/>
  <c r="AB221" i="25"/>
  <c r="AB222" i="25" s="1"/>
  <c r="AJ223" i="25"/>
  <c r="AJ221" i="25"/>
  <c r="AJ222" i="25" s="1"/>
  <c r="AR223" i="25"/>
  <c r="AR221" i="25"/>
  <c r="AR222" i="25" s="1"/>
  <c r="AZ223" i="25"/>
  <c r="AZ221" i="25"/>
  <c r="AZ222" i="25" s="1"/>
  <c r="Q228" i="25"/>
  <c r="Q229" i="25"/>
  <c r="Q39" i="25" s="1"/>
  <c r="Q27" i="25" s="1"/>
  <c r="Y228" i="25"/>
  <c r="Y229" i="25"/>
  <c r="Y39" i="25" s="1"/>
  <c r="Y27" i="25" s="1"/>
  <c r="AG228" i="25"/>
  <c r="AG229" i="25"/>
  <c r="AG39" i="25" s="1"/>
  <c r="AG27" i="25" s="1"/>
  <c r="AO228" i="25"/>
  <c r="AO229" i="25"/>
  <c r="AO39" i="25" s="1"/>
  <c r="AO27" i="25" s="1"/>
  <c r="AW228" i="25"/>
  <c r="AW229" i="25"/>
  <c r="AW39" i="25" s="1"/>
  <c r="AW27" i="25" s="1"/>
  <c r="BE228" i="25"/>
  <c r="BE229" i="25"/>
  <c r="BE39" i="25" s="1"/>
  <c r="BE27" i="25" s="1"/>
  <c r="N235" i="25"/>
  <c r="N234" i="25"/>
  <c r="V235" i="25"/>
  <c r="V43" i="25" s="1"/>
  <c r="V31" i="25" s="1"/>
  <c r="V234" i="25"/>
  <c r="AD235" i="25"/>
  <c r="AD43" i="25" s="1"/>
  <c r="AD31" i="25" s="1"/>
  <c r="AD234" i="25"/>
  <c r="AL235" i="25"/>
  <c r="AL43" i="25" s="1"/>
  <c r="AL31" i="25" s="1"/>
  <c r="AL234" i="25"/>
  <c r="AT235" i="25"/>
  <c r="AT43" i="25" s="1"/>
  <c r="AT31" i="25" s="1"/>
  <c r="AT234" i="25"/>
  <c r="BB235" i="25"/>
  <c r="BB43" i="25" s="1"/>
  <c r="BB31" i="25" s="1"/>
  <c r="BB234" i="25"/>
  <c r="P133" i="25"/>
  <c r="AB133" i="25"/>
  <c r="AO133" i="25"/>
  <c r="BC133" i="25"/>
  <c r="Z178" i="25"/>
  <c r="Z179" i="25" s="1"/>
  <c r="AA62" i="27" s="1"/>
  <c r="AA51" i="27" s="1"/>
  <c r="AA43" i="27" s="1"/>
  <c r="AP178" i="25"/>
  <c r="AP179" i="25" s="1"/>
  <c r="AQ62" i="27" s="1"/>
  <c r="AQ51" i="27" s="1"/>
  <c r="AQ43" i="27" s="1"/>
  <c r="BJ235" i="25"/>
  <c r="BJ43" i="25" s="1"/>
  <c r="BJ31" i="25" s="1"/>
  <c r="BJ234" i="25"/>
  <c r="BJ178" i="25"/>
  <c r="BJ179" i="25" s="1"/>
  <c r="BK62" i="27" s="1"/>
  <c r="BK51" i="27" s="1"/>
  <c r="BK43" i="27" s="1"/>
  <c r="AS177" i="25"/>
  <c r="AS178" i="25" s="1"/>
  <c r="AS179" i="25" s="1"/>
  <c r="AT62" i="27" s="1"/>
  <c r="AT51" i="27" s="1"/>
  <c r="AT43" i="27" s="1"/>
  <c r="BA177" i="25"/>
  <c r="BI177" i="25"/>
  <c r="N177" i="25"/>
  <c r="Y177" i="25"/>
  <c r="Y178" i="25" s="1"/>
  <c r="Y179" i="25" s="1"/>
  <c r="Z62" i="27" s="1"/>
  <c r="Z51" i="27" s="1"/>
  <c r="Z43" i="27" s="1"/>
  <c r="AN177" i="25"/>
  <c r="AN178" i="25" s="1"/>
  <c r="AN179" i="25" s="1"/>
  <c r="AO62" i="27" s="1"/>
  <c r="AO51" i="27" s="1"/>
  <c r="AO43" i="27" s="1"/>
  <c r="BB177" i="25"/>
  <c r="BB178" i="25" s="1"/>
  <c r="BB179" i="25" s="1"/>
  <c r="BC62" i="27" s="1"/>
  <c r="BC51" i="27" s="1"/>
  <c r="BC43" i="27" s="1"/>
  <c r="BD235" i="25"/>
  <c r="BD43" i="25" s="1"/>
  <c r="BD31" i="25" s="1"/>
  <c r="BD234" i="25"/>
  <c r="P177" i="25"/>
  <c r="P178" i="25" s="1"/>
  <c r="P179" i="25" s="1"/>
  <c r="Q62" i="27" s="1"/>
  <c r="Q51" i="27" s="1"/>
  <c r="Q43" i="27" s="1"/>
  <c r="AD177" i="25"/>
  <c r="AO177" i="25"/>
  <c r="AO178" i="25" s="1"/>
  <c r="AO179" i="25" s="1"/>
  <c r="AP62" i="27" s="1"/>
  <c r="AP51" i="27" s="1"/>
  <c r="AP43" i="27" s="1"/>
  <c r="M185" i="25"/>
  <c r="L193" i="25"/>
  <c r="BE234" i="25"/>
  <c r="BE235" i="25"/>
  <c r="BE43" i="25" s="1"/>
  <c r="BE31" i="25" s="1"/>
  <c r="Q177" i="25"/>
  <c r="Q178" i="25" s="1"/>
  <c r="Q179" i="25" s="1"/>
  <c r="R62" i="27" s="1"/>
  <c r="R51" i="27" s="1"/>
  <c r="R43" i="27" s="1"/>
  <c r="BD177" i="25"/>
  <c r="AF177" i="25"/>
  <c r="AF178" i="25" s="1"/>
  <c r="AF179" i="25" s="1"/>
  <c r="AG62" i="27" s="1"/>
  <c r="AG51" i="27" s="1"/>
  <c r="AG43" i="27" s="1"/>
  <c r="AT177" i="25"/>
  <c r="AT178" i="25" s="1"/>
  <c r="AT179" i="25" s="1"/>
  <c r="AU62" i="27" s="1"/>
  <c r="AU51" i="27" s="1"/>
  <c r="AU43" i="27" s="1"/>
  <c r="AC213" i="25"/>
  <c r="O212" i="25"/>
  <c r="O214" i="25" s="1"/>
  <c r="O140" i="25" s="1"/>
  <c r="O151" i="25" s="1"/>
  <c r="W212" i="25"/>
  <c r="W214" i="25" s="1"/>
  <c r="W140" i="25" s="1"/>
  <c r="W151" i="25" s="1"/>
  <c r="AE212" i="25"/>
  <c r="AE214" i="25" s="1"/>
  <c r="AE140" i="25" s="1"/>
  <c r="AE151" i="25" s="1"/>
  <c r="AM212" i="25"/>
  <c r="BC212" i="25"/>
  <c r="L204" i="25"/>
  <c r="M205" i="25"/>
  <c r="M197" i="25" s="1"/>
  <c r="W213" i="25"/>
  <c r="AE213" i="25"/>
  <c r="AE215" i="25" s="1"/>
  <c r="AE141" i="25" s="1"/>
  <c r="AE152" i="25" s="1"/>
  <c r="AM213" i="25"/>
  <c r="AU213" i="25"/>
  <c r="AU215" i="25" s="1"/>
  <c r="AU141" i="25" s="1"/>
  <c r="AU152" i="25" s="1"/>
  <c r="BC213" i="25"/>
  <c r="S212" i="25"/>
  <c r="S216" i="25"/>
  <c r="S210" i="25"/>
  <c r="AA216" i="25"/>
  <c r="AA212" i="25"/>
  <c r="AA214" i="25" s="1"/>
  <c r="AA140" i="25" s="1"/>
  <c r="AA151" i="25" s="1"/>
  <c r="AA210" i="25"/>
  <c r="AI212" i="25"/>
  <c r="AI214" i="25" s="1"/>
  <c r="AI140" i="25" s="1"/>
  <c r="AI151" i="25" s="1"/>
  <c r="AI210" i="25"/>
  <c r="AI216" i="25"/>
  <c r="AQ212" i="25"/>
  <c r="AQ216" i="25"/>
  <c r="AQ210" i="25"/>
  <c r="AY212" i="25"/>
  <c r="AY210" i="25"/>
  <c r="AY216" i="25"/>
  <c r="R213" i="25"/>
  <c r="AP213" i="25"/>
  <c r="P213" i="25"/>
  <c r="X213" i="25"/>
  <c r="AF213" i="25"/>
  <c r="AF215" i="25" s="1"/>
  <c r="AF141" i="25" s="1"/>
  <c r="AF152" i="25" s="1"/>
  <c r="AN213" i="25"/>
  <c r="AV213" i="25"/>
  <c r="AV215" i="25" s="1"/>
  <c r="AV141" i="25" s="1"/>
  <c r="AV152" i="25" s="1"/>
  <c r="BD213" i="25"/>
  <c r="AU212" i="25"/>
  <c r="AU214" i="25" s="1"/>
  <c r="AU140" i="25" s="1"/>
  <c r="AU151" i="25" s="1"/>
  <c r="BD217" i="25"/>
  <c r="AP212" i="25"/>
  <c r="AP216" i="25"/>
  <c r="AX212" i="25"/>
  <c r="AX214" i="25" s="1"/>
  <c r="AX140" i="25" s="1"/>
  <c r="AX151" i="25" s="1"/>
  <c r="AX216" i="25"/>
  <c r="BF212" i="25"/>
  <c r="BF214" i="25" s="1"/>
  <c r="BF140" i="25" s="1"/>
  <c r="BF151" i="25" s="1"/>
  <c r="BF216" i="25"/>
  <c r="Q213" i="25"/>
  <c r="Q217" i="25"/>
  <c r="Y213" i="25"/>
  <c r="Y217" i="25"/>
  <c r="AG213" i="25"/>
  <c r="AG215" i="25" s="1"/>
  <c r="AG141" i="25" s="1"/>
  <c r="AG152" i="25" s="1"/>
  <c r="AG217" i="25"/>
  <c r="AO213" i="25"/>
  <c r="AO215" i="25" s="1"/>
  <c r="AO141" i="25" s="1"/>
  <c r="AO152" i="25" s="1"/>
  <c r="AO217" i="25"/>
  <c r="AW213" i="25"/>
  <c r="AW215" i="25" s="1"/>
  <c r="AW141" i="25" s="1"/>
  <c r="AW152" i="25" s="1"/>
  <c r="AW217" i="25"/>
  <c r="BE213" i="25"/>
  <c r="BE217" i="25"/>
  <c r="P210" i="25"/>
  <c r="X210" i="25"/>
  <c r="AF210" i="25"/>
  <c r="AN210" i="25"/>
  <c r="AV210" i="25"/>
  <c r="BD210" i="25"/>
  <c r="U212" i="25"/>
  <c r="AC212" i="25"/>
  <c r="AC214" i="25" s="1"/>
  <c r="AC140" i="25" s="1"/>
  <c r="AC151" i="25" s="1"/>
  <c r="AK212" i="25"/>
  <c r="AK214" i="25" s="1"/>
  <c r="AK140" i="25" s="1"/>
  <c r="AK151" i="25" s="1"/>
  <c r="AW212" i="25"/>
  <c r="U213" i="25"/>
  <c r="AG216" i="25"/>
  <c r="P217" i="25"/>
  <c r="AL217" i="25"/>
  <c r="BG212" i="25"/>
  <c r="R217" i="25"/>
  <c r="Z217" i="25"/>
  <c r="AH217" i="25"/>
  <c r="AP217" i="25"/>
  <c r="AX217" i="25"/>
  <c r="BF217" i="25"/>
  <c r="Q210" i="25"/>
  <c r="Y210" i="25"/>
  <c r="AG210" i="25"/>
  <c r="AO210" i="25"/>
  <c r="AW210" i="25"/>
  <c r="BE216" i="25"/>
  <c r="AN217" i="25"/>
  <c r="T216" i="25"/>
  <c r="AB216" i="25"/>
  <c r="AJ216" i="25"/>
  <c r="AR214" i="25"/>
  <c r="AR140" i="25" s="1"/>
  <c r="AR151" i="25" s="1"/>
  <c r="AR216" i="25"/>
  <c r="AZ216" i="25"/>
  <c r="BH216" i="25"/>
  <c r="S213" i="25"/>
  <c r="AA213" i="25"/>
  <c r="AA215" i="25" s="1"/>
  <c r="AA141" i="25" s="1"/>
  <c r="AA152" i="25" s="1"/>
  <c r="AI213" i="25"/>
  <c r="AQ213" i="25"/>
  <c r="AQ215" i="25" s="1"/>
  <c r="AQ141" i="25" s="1"/>
  <c r="AQ152" i="25" s="1"/>
  <c r="AY213" i="25"/>
  <c r="AY215" i="25" s="1"/>
  <c r="AY141" i="25" s="1"/>
  <c r="AY152" i="25" s="1"/>
  <c r="BG215" i="25"/>
  <c r="BG141" i="25" s="1"/>
  <c r="BG152" i="25" s="1"/>
  <c r="BG213" i="25"/>
  <c r="R210" i="25"/>
  <c r="Z210" i="25"/>
  <c r="AH210" i="25"/>
  <c r="AP210" i="25"/>
  <c r="AX210" i="25"/>
  <c r="BF210" i="25"/>
  <c r="Z213" i="25"/>
  <c r="Z215" i="25" s="1"/>
  <c r="Z141" i="25" s="1"/>
  <c r="Z152" i="25" s="1"/>
  <c r="Q216" i="25"/>
  <c r="BG216" i="25"/>
  <c r="AQ217" i="25"/>
  <c r="AS212" i="25"/>
  <c r="AS214" i="25" s="1"/>
  <c r="AS140" i="25" s="1"/>
  <c r="AS151" i="25" s="1"/>
  <c r="AS216" i="25"/>
  <c r="BA212" i="25"/>
  <c r="BK212" i="25" s="1"/>
  <c r="BA216" i="25"/>
  <c r="BI212" i="25"/>
  <c r="BI216" i="25"/>
  <c r="T213" i="25"/>
  <c r="T217" i="25"/>
  <c r="AB213" i="25"/>
  <c r="AB217" i="25"/>
  <c r="AJ213" i="25"/>
  <c r="AJ217" i="25"/>
  <c r="AR213" i="25"/>
  <c r="AR217" i="25"/>
  <c r="AZ213" i="25"/>
  <c r="AZ217" i="25"/>
  <c r="BH213" i="25"/>
  <c r="BH217" i="25"/>
  <c r="BG210" i="25"/>
  <c r="P212" i="25"/>
  <c r="P214" i="25" s="1"/>
  <c r="P140" i="25" s="1"/>
  <c r="P151" i="25" s="1"/>
  <c r="X212" i="25"/>
  <c r="AF212" i="25"/>
  <c r="AF214" i="25" s="1"/>
  <c r="AF140" i="25" s="1"/>
  <c r="AF151" i="25" s="1"/>
  <c r="AN212" i="25"/>
  <c r="BE212" i="25"/>
  <c r="AX213" i="25"/>
  <c r="AX215" i="25" s="1"/>
  <c r="AX141" i="25" s="1"/>
  <c r="AX152" i="25" s="1"/>
  <c r="AO216" i="25"/>
  <c r="X217" i="25"/>
  <c r="V214" i="25"/>
  <c r="V140" i="25" s="1"/>
  <c r="V151" i="25" s="1"/>
  <c r="AT212" i="25"/>
  <c r="BB212" i="25"/>
  <c r="BJ212" i="25"/>
  <c r="BJ214" i="25" s="1"/>
  <c r="BJ140" i="25" s="1"/>
  <c r="BJ151" i="25" s="1"/>
  <c r="U217" i="25"/>
  <c r="AC217" i="25"/>
  <c r="AK217" i="25"/>
  <c r="AS217" i="25"/>
  <c r="BA217" i="25"/>
  <c r="BI217" i="25"/>
  <c r="T210" i="25"/>
  <c r="AB210" i="25"/>
  <c r="AJ210" i="25"/>
  <c r="AR210" i="25"/>
  <c r="AZ210" i="25"/>
  <c r="BH210" i="25"/>
  <c r="Q212" i="25"/>
  <c r="Y212" i="25"/>
  <c r="AG212" i="25"/>
  <c r="AG214" i="25" s="1"/>
  <c r="AG140" i="25" s="1"/>
  <c r="AG151" i="25" s="1"/>
  <c r="AO212" i="25"/>
  <c r="BH212" i="25"/>
  <c r="BA213" i="25"/>
  <c r="BA215" i="25" s="1"/>
  <c r="BA141" i="25" s="1"/>
  <c r="BA152" i="25" s="1"/>
  <c r="V216" i="25"/>
  <c r="AA217" i="25"/>
  <c r="AV217" i="25"/>
  <c r="O216" i="25"/>
  <c r="W216" i="25"/>
  <c r="AE216" i="25"/>
  <c r="AM214" i="25"/>
  <c r="AM140" i="25" s="1"/>
  <c r="AM151" i="25" s="1"/>
  <c r="AM216" i="25"/>
  <c r="AU216" i="25"/>
  <c r="BC216" i="25"/>
  <c r="N213" i="25"/>
  <c r="N215" i="25" s="1"/>
  <c r="V213" i="25"/>
  <c r="AD213" i="25"/>
  <c r="AL213" i="25"/>
  <c r="AL215" i="25" s="1"/>
  <c r="AL141" i="25" s="1"/>
  <c r="AL152" i="25" s="1"/>
  <c r="AT213" i="25"/>
  <c r="AT215" i="25" s="1"/>
  <c r="AT141" i="25" s="1"/>
  <c r="AT152" i="25" s="1"/>
  <c r="BB213" i="25"/>
  <c r="BJ213" i="25"/>
  <c r="U210" i="25"/>
  <c r="AC210" i="25"/>
  <c r="AK210" i="25"/>
  <c r="AS210" i="25"/>
  <c r="BA210" i="25"/>
  <c r="BI210" i="25"/>
  <c r="R212" i="25"/>
  <c r="Z212" i="25"/>
  <c r="AH212" i="25"/>
  <c r="AH213" i="25"/>
  <c r="AH215" i="25" s="1"/>
  <c r="AH141" i="25" s="1"/>
  <c r="AH152" i="25" s="1"/>
  <c r="BJ215" i="25"/>
  <c r="BJ141" i="25" s="1"/>
  <c r="BJ152" i="25" s="1"/>
  <c r="Y216" i="25"/>
  <c r="AT216" i="25"/>
  <c r="AD217" i="25"/>
  <c r="AY217" i="25"/>
  <c r="AV216" i="25"/>
  <c r="AV212" i="25"/>
  <c r="AV214" i="25" s="1"/>
  <c r="AV140" i="25" s="1"/>
  <c r="AV151" i="25" s="1"/>
  <c r="BD216" i="25"/>
  <c r="BD212" i="25"/>
  <c r="BD214" i="25" s="1"/>
  <c r="BD140" i="25" s="1"/>
  <c r="BD151" i="25" s="1"/>
  <c r="O217" i="25"/>
  <c r="W217" i="25"/>
  <c r="AE217" i="25"/>
  <c r="AM217" i="25"/>
  <c r="AU217" i="25"/>
  <c r="BC217" i="25"/>
  <c r="O213" i="25"/>
  <c r="BF213" i="25"/>
  <c r="AW216" i="25"/>
  <c r="AF217" i="25"/>
  <c r="BC236" i="25"/>
  <c r="BK240" i="25" a="1"/>
  <c r="BK240" i="25" s="1"/>
  <c r="S241" i="25"/>
  <c r="S230" i="25"/>
  <c r="AA241" i="25"/>
  <c r="AA230" i="25"/>
  <c r="AI241" i="25"/>
  <c r="AI230" i="25"/>
  <c r="AQ241" i="25"/>
  <c r="AQ230" i="25"/>
  <c r="AY241" i="25"/>
  <c r="AY230" i="25"/>
  <c r="BG241" i="25"/>
  <c r="BG256" i="25" s="1"/>
  <c r="BG230" i="25"/>
  <c r="AZ241" i="25"/>
  <c r="U241" i="25"/>
  <c r="AC241" i="25"/>
  <c r="AK241" i="25"/>
  <c r="AS241" i="25"/>
  <c r="BA241" i="25"/>
  <c r="BI241" i="25"/>
  <c r="BI256" i="25" s="1"/>
  <c r="N241" i="25"/>
  <c r="V241" i="25"/>
  <c r="AD241" i="25"/>
  <c r="AL241" i="25"/>
  <c r="AT241" i="25"/>
  <c r="BB241" i="25"/>
  <c r="BJ241" i="25"/>
  <c r="BJ256" i="25" s="1"/>
  <c r="O241" i="25"/>
  <c r="W241" i="25"/>
  <c r="AE241" i="25"/>
  <c r="AM241" i="25"/>
  <c r="AU241" i="25"/>
  <c r="BC241" i="25"/>
  <c r="BC256" i="25" s="1"/>
  <c r="X241" i="25"/>
  <c r="AF241" i="25"/>
  <c r="AN241" i="25"/>
  <c r="AV241" i="25"/>
  <c r="BD241" i="25"/>
  <c r="BD256" i="25" s="1"/>
  <c r="Q241" i="25"/>
  <c r="AG241" i="25"/>
  <c r="AO241" i="25"/>
  <c r="AW241" i="25"/>
  <c r="BE241" i="25"/>
  <c r="BE256" i="25" s="1"/>
  <c r="R241" i="25"/>
  <c r="Z241" i="25"/>
  <c r="AH241" i="25"/>
  <c r="AP241" i="25"/>
  <c r="AX241" i="25"/>
  <c r="BF241" i="25"/>
  <c r="BF256" i="25" s="1"/>
  <c r="K41" i="12"/>
  <c r="K42" i="12" s="1"/>
  <c r="K43" i="12" s="1"/>
  <c r="K44" i="12" s="1"/>
  <c r="K45" i="12" s="1"/>
  <c r="K46" i="12" s="1"/>
  <c r="K47" i="12" s="1"/>
  <c r="M40" i="12"/>
  <c r="E71" i="16"/>
  <c r="H47" i="12"/>
  <c r="H41" i="12"/>
  <c r="G42" i="12"/>
  <c r="H42" i="12" s="1"/>
  <c r="G43" i="12"/>
  <c r="H43" i="12" s="1"/>
  <c r="G44" i="12"/>
  <c r="H44" i="12" s="1"/>
  <c r="G45" i="12"/>
  <c r="H45" i="12" s="1"/>
  <c r="G46" i="12"/>
  <c r="H46" i="12" s="1"/>
  <c r="G47" i="12"/>
  <c r="G41" i="12"/>
  <c r="BH215" i="25" l="1"/>
  <c r="BH141" i="25" s="1"/>
  <c r="BH152" i="25" s="1"/>
  <c r="V203" i="25"/>
  <c r="V139" i="25" s="1"/>
  <c r="V150" i="25" s="1"/>
  <c r="AK202" i="25"/>
  <c r="AK138" i="25" s="1"/>
  <c r="AK149" i="25" s="1"/>
  <c r="Y203" i="25"/>
  <c r="Y139" i="25" s="1"/>
  <c r="Y150" i="25" s="1"/>
  <c r="X203" i="25"/>
  <c r="X139" i="25" s="1"/>
  <c r="X150" i="25" s="1"/>
  <c r="AB34" i="25"/>
  <c r="BH214" i="25"/>
  <c r="BH140" i="25" s="1"/>
  <c r="BH151" i="25" s="1"/>
  <c r="AQ202" i="25"/>
  <c r="AQ138" i="25" s="1"/>
  <c r="AQ149" i="25" s="1"/>
  <c r="BE215" i="25"/>
  <c r="BE141" i="25" s="1"/>
  <c r="BE152" i="25" s="1"/>
  <c r="X215" i="25"/>
  <c r="X141" i="25" s="1"/>
  <c r="X152" i="25" s="1"/>
  <c r="W215" i="25"/>
  <c r="W141" i="25" s="1"/>
  <c r="W152" i="25" s="1"/>
  <c r="Y214" i="25"/>
  <c r="Y140" i="25" s="1"/>
  <c r="Y151" i="25" s="1"/>
  <c r="BB214" i="25"/>
  <c r="BB140" i="25" s="1"/>
  <c r="BB151" i="25" s="1"/>
  <c r="AN214" i="25"/>
  <c r="AN140" i="25" s="1"/>
  <c r="AN151" i="25" s="1"/>
  <c r="S215" i="25"/>
  <c r="S141" i="25" s="1"/>
  <c r="S152" i="25" s="1"/>
  <c r="P215" i="25"/>
  <c r="P141" i="25" s="1"/>
  <c r="P152" i="25" s="1"/>
  <c r="M201" i="25"/>
  <c r="N178" i="25"/>
  <c r="N179" i="25" s="1"/>
  <c r="O62" i="27" s="1"/>
  <c r="O51" i="27" s="1"/>
  <c r="O43" i="27" s="1"/>
  <c r="BC202" i="25"/>
  <c r="BC138" i="25" s="1"/>
  <c r="BC149" i="25" s="1"/>
  <c r="AT202" i="25"/>
  <c r="AT138" i="25" s="1"/>
  <c r="AT149" i="25" s="1"/>
  <c r="AW214" i="25"/>
  <c r="AW140" i="25" s="1"/>
  <c r="AW151" i="25" s="1"/>
  <c r="BH202" i="25"/>
  <c r="BH138" i="25" s="1"/>
  <c r="BH149" i="25" s="1"/>
  <c r="K247" i="25"/>
  <c r="AO2" i="30"/>
  <c r="AI215" i="25"/>
  <c r="AI141" i="25" s="1"/>
  <c r="AI152" i="25" s="1"/>
  <c r="U214" i="25"/>
  <c r="U140" i="25" s="1"/>
  <c r="U151" i="25" s="1"/>
  <c r="AP214" i="25"/>
  <c r="AP140" i="25" s="1"/>
  <c r="AP151" i="25" s="1"/>
  <c r="AC215" i="25"/>
  <c r="AC141" i="25" s="1"/>
  <c r="AC152" i="25" s="1"/>
  <c r="BF215" i="25"/>
  <c r="BF141" i="25" s="1"/>
  <c r="BF152" i="25" s="1"/>
  <c r="Z214" i="25"/>
  <c r="Z140" i="25" s="1"/>
  <c r="Z151" i="25" s="1"/>
  <c r="Q214" i="25"/>
  <c r="Q140" i="25" s="1"/>
  <c r="Q151" i="25" s="1"/>
  <c r="AT214" i="25"/>
  <c r="AT140" i="25" s="1"/>
  <c r="AT151" i="25" s="1"/>
  <c r="AZ203" i="25"/>
  <c r="AZ139" i="25" s="1"/>
  <c r="AZ150" i="25" s="1"/>
  <c r="AG202" i="25"/>
  <c r="AG138" i="25" s="1"/>
  <c r="AG149" i="25" s="1"/>
  <c r="Q203" i="25"/>
  <c r="Q139" i="25" s="1"/>
  <c r="Q150" i="25" s="1"/>
  <c r="AD215" i="25"/>
  <c r="AD141" i="25" s="1"/>
  <c r="AD152" i="25" s="1"/>
  <c r="W203" i="25"/>
  <c r="W139" i="25" s="1"/>
  <c r="W150" i="25" s="1"/>
  <c r="V215" i="25"/>
  <c r="V141" i="25" s="1"/>
  <c r="V152" i="25" s="1"/>
  <c r="AO214" i="25"/>
  <c r="AO140" i="25" s="1"/>
  <c r="AO151" i="25" s="1"/>
  <c r="AB215" i="25"/>
  <c r="AB141" i="25" s="1"/>
  <c r="AB152" i="25" s="1"/>
  <c r="BG214" i="25"/>
  <c r="BG140" i="25" s="1"/>
  <c r="BG151" i="25" s="1"/>
  <c r="BE214" i="25"/>
  <c r="BE140" i="25" s="1"/>
  <c r="BE151" i="25" s="1"/>
  <c r="Y215" i="25"/>
  <c r="Y141" i="25" s="1"/>
  <c r="Y152" i="25" s="1"/>
  <c r="AD178" i="25"/>
  <c r="AD179" i="25" s="1"/>
  <c r="AE62" i="27" s="1"/>
  <c r="AE51" i="27" s="1"/>
  <c r="AE43" i="27" s="1"/>
  <c r="BI178" i="25"/>
  <c r="BI179" i="25" s="1"/>
  <c r="BJ62" i="27" s="1"/>
  <c r="BJ51" i="27" s="1"/>
  <c r="BJ43" i="27" s="1"/>
  <c r="BM2" i="30" s="1"/>
  <c r="H247" i="25"/>
  <c r="L247" i="25"/>
  <c r="O215" i="25"/>
  <c r="O141" i="25" s="1"/>
  <c r="O152" i="25" s="1"/>
  <c r="BB215" i="25"/>
  <c r="BB141" i="25" s="1"/>
  <c r="BB152" i="25" s="1"/>
  <c r="X214" i="25"/>
  <c r="X140" i="25" s="1"/>
  <c r="X151" i="25" s="1"/>
  <c r="AR215" i="25"/>
  <c r="AR141" i="25" s="1"/>
  <c r="AR152" i="25" s="1"/>
  <c r="BI214" i="25"/>
  <c r="BI140" i="25" s="1"/>
  <c r="BI151" i="25" s="1"/>
  <c r="BD215" i="25"/>
  <c r="BD141" i="25" s="1"/>
  <c r="BD152" i="25" s="1"/>
  <c r="R215" i="25"/>
  <c r="R141" i="25" s="1"/>
  <c r="R152" i="25" s="1"/>
  <c r="S214" i="25"/>
  <c r="S140" i="25" s="1"/>
  <c r="S151" i="25" s="1"/>
  <c r="BC214" i="25"/>
  <c r="BC140" i="25" s="1"/>
  <c r="BC151" i="25" s="1"/>
  <c r="BD178" i="25"/>
  <c r="BD179" i="25" s="1"/>
  <c r="BE62" i="27" s="1"/>
  <c r="BE51" i="27" s="1"/>
  <c r="BE43" i="27" s="1"/>
  <c r="BA178" i="25"/>
  <c r="BA179" i="25" s="1"/>
  <c r="BB62" i="27" s="1"/>
  <c r="BB51" i="27" s="1"/>
  <c r="BB43" i="27" s="1"/>
  <c r="BJ202" i="25"/>
  <c r="BJ138" i="25" s="1"/>
  <c r="BJ149" i="25" s="1"/>
  <c r="AD203" i="25"/>
  <c r="AD139" i="25" s="1"/>
  <c r="AD150" i="25" s="1"/>
  <c r="N203" i="25"/>
  <c r="AA203" i="25"/>
  <c r="AA139" i="25" s="1"/>
  <c r="AA150" i="25" s="1"/>
  <c r="BF203" i="25"/>
  <c r="BF139" i="25" s="1"/>
  <c r="BF150" i="25" s="1"/>
  <c r="AH203" i="25"/>
  <c r="AH139" i="25" s="1"/>
  <c r="AH150" i="25" s="1"/>
  <c r="J247" i="25"/>
  <c r="G247" i="25"/>
  <c r="BH34" i="25"/>
  <c r="BH3" i="33"/>
  <c r="BH2" i="30"/>
  <c r="BI3" i="33"/>
  <c r="BI2" i="30"/>
  <c r="AS3" i="33"/>
  <c r="AS2" i="30"/>
  <c r="BN3" i="33"/>
  <c r="BN2" i="30"/>
  <c r="BL62" i="27"/>
  <c r="AY3" i="33"/>
  <c r="AY2" i="30"/>
  <c r="BF3" i="33"/>
  <c r="BF2" i="30"/>
  <c r="AE3" i="33"/>
  <c r="AE2" i="30"/>
  <c r="H7" i="30"/>
  <c r="AN3" i="33"/>
  <c r="AN2" i="30"/>
  <c r="AR3" i="33"/>
  <c r="AR2" i="30"/>
  <c r="AE203" i="25"/>
  <c r="AE139" i="25" s="1"/>
  <c r="AE150" i="25" s="1"/>
  <c r="U202" i="25"/>
  <c r="U138" i="25" s="1"/>
  <c r="U149" i="25" s="1"/>
  <c r="AV3" i="33"/>
  <c r="AV2" i="30"/>
  <c r="AC3" i="33"/>
  <c r="AC2" i="30"/>
  <c r="AH214" i="25"/>
  <c r="AH140" i="25" s="1"/>
  <c r="AH151" i="25" s="1"/>
  <c r="AB3" i="33"/>
  <c r="AB2" i="30"/>
  <c r="R3" i="33"/>
  <c r="R2" i="30"/>
  <c r="AR203" i="25"/>
  <c r="AR139" i="25" s="1"/>
  <c r="AR150" i="25" s="1"/>
  <c r="AG3" i="33"/>
  <c r="AG2" i="30"/>
  <c r="Y3" i="33"/>
  <c r="Y2" i="30"/>
  <c r="BM3" i="33"/>
  <c r="Z3" i="33"/>
  <c r="Z2" i="30"/>
  <c r="BE3" i="33"/>
  <c r="BE2" i="30"/>
  <c r="AL203" i="25"/>
  <c r="AL139" i="25" s="1"/>
  <c r="AL150" i="25" s="1"/>
  <c r="AW203" i="25"/>
  <c r="AW139" i="25" s="1"/>
  <c r="AW150" i="25" s="1"/>
  <c r="L4" i="33"/>
  <c r="L3" i="30"/>
  <c r="AM3" i="33"/>
  <c r="AM2" i="30"/>
  <c r="AX3" i="33"/>
  <c r="AX2" i="30"/>
  <c r="O203" i="25"/>
  <c r="O139" i="25" s="1"/>
  <c r="O150" i="25" s="1"/>
  <c r="BI202" i="25"/>
  <c r="BI138" i="25" s="1"/>
  <c r="BI149" i="25" s="1"/>
  <c r="AO202" i="25"/>
  <c r="AO138" i="25" s="1"/>
  <c r="AO149" i="25" s="1"/>
  <c r="G42" i="27"/>
  <c r="J8" i="33" s="1"/>
  <c r="K217" i="25"/>
  <c r="L34" i="25"/>
  <c r="AJ3" i="33"/>
  <c r="AJ2" i="30"/>
  <c r="I9" i="33"/>
  <c r="I8" i="30"/>
  <c r="AZ3" i="33"/>
  <c r="AZ2" i="30"/>
  <c r="AN203" i="25"/>
  <c r="AN139" i="25" s="1"/>
  <c r="AN150" i="25" s="1"/>
  <c r="I7" i="33"/>
  <c r="I5" i="33"/>
  <c r="I6" i="33"/>
  <c r="I4" i="30"/>
  <c r="I5" i="30"/>
  <c r="I6" i="30"/>
  <c r="AU3" i="33"/>
  <c r="AU2" i="30"/>
  <c r="U3" i="33"/>
  <c r="U2" i="30"/>
  <c r="AW3" i="33"/>
  <c r="AW2" i="30"/>
  <c r="AT3" i="33"/>
  <c r="AT2" i="30"/>
  <c r="R202" i="25"/>
  <c r="R138" i="25" s="1"/>
  <c r="R149" i="25" s="1"/>
  <c r="BO4" i="33"/>
  <c r="BO3" i="30"/>
  <c r="AP3" i="33"/>
  <c r="AP2" i="30"/>
  <c r="AD3" i="33"/>
  <c r="AD2" i="30"/>
  <c r="BG3" i="33"/>
  <c r="BG2" i="30"/>
  <c r="N214" i="25"/>
  <c r="AK215" i="25"/>
  <c r="AK141" i="25" s="1"/>
  <c r="AK152" i="25" s="1"/>
  <c r="AF203" i="25"/>
  <c r="AF139" i="25" s="1"/>
  <c r="AF150" i="25" s="1"/>
  <c r="BP4" i="33"/>
  <c r="BP3" i="30"/>
  <c r="AQ3" i="33"/>
  <c r="AQ2" i="30"/>
  <c r="AI202" i="25"/>
  <c r="AI138" i="25" s="1"/>
  <c r="AI149" i="25" s="1"/>
  <c r="M4" i="33"/>
  <c r="M3" i="30"/>
  <c r="AI3" i="33"/>
  <c r="AI2" i="30"/>
  <c r="T203" i="25"/>
  <c r="T139" i="25" s="1"/>
  <c r="T150" i="25" s="1"/>
  <c r="F42" i="27"/>
  <c r="I8" i="33" s="1"/>
  <c r="AU203" i="25"/>
  <c r="AU139" i="25" s="1"/>
  <c r="AU150" i="25" s="1"/>
  <c r="AA3" i="33"/>
  <c r="AA2" i="30"/>
  <c r="BL3" i="33"/>
  <c r="BL2" i="30"/>
  <c r="BC3" i="33"/>
  <c r="BC2" i="30"/>
  <c r="BA214" i="25"/>
  <c r="BA140" i="25" s="1"/>
  <c r="BA151" i="25" s="1"/>
  <c r="AH3" i="33"/>
  <c r="AH2" i="30"/>
  <c r="AM202" i="25"/>
  <c r="AM138" i="25" s="1"/>
  <c r="AM149" i="25" s="1"/>
  <c r="AK3" i="33"/>
  <c r="AK2" i="30"/>
  <c r="S3" i="33"/>
  <c r="S2" i="30"/>
  <c r="BI215" i="25"/>
  <c r="BI141" i="25" s="1"/>
  <c r="BI152" i="25" s="1"/>
  <c r="X3" i="33"/>
  <c r="X2" i="30"/>
  <c r="T3" i="33"/>
  <c r="T2" i="30"/>
  <c r="BB202" i="25"/>
  <c r="BB138" i="25" s="1"/>
  <c r="BB149" i="25" s="1"/>
  <c r="S203" i="25"/>
  <c r="S139" i="25" s="1"/>
  <c r="S150" i="25" s="1"/>
  <c r="AX203" i="25"/>
  <c r="AX139" i="25" s="1"/>
  <c r="AX150" i="25" s="1"/>
  <c r="P202" i="25"/>
  <c r="P138" i="25" s="1"/>
  <c r="P149" i="25" s="1"/>
  <c r="H50" i="27"/>
  <c r="G48" i="27"/>
  <c r="G40" i="27" s="1"/>
  <c r="G60" i="27"/>
  <c r="G49" i="27" s="1"/>
  <c r="G41" i="27" s="1"/>
  <c r="H59" i="27"/>
  <c r="H52" i="27"/>
  <c r="H44" i="27" s="1"/>
  <c r="B214" i="25"/>
  <c r="M214" i="25" s="1"/>
  <c r="N140" i="25"/>
  <c r="N151" i="25" s="1"/>
  <c r="AO136" i="25"/>
  <c r="AO147" i="25" s="1"/>
  <c r="B215" i="25"/>
  <c r="M215" i="25"/>
  <c r="N141" i="25"/>
  <c r="N152" i="25" s="1"/>
  <c r="X243" i="25"/>
  <c r="X191" i="25"/>
  <c r="BC243" i="25"/>
  <c r="BC191" i="25"/>
  <c r="AM243" i="25"/>
  <c r="AM191" i="25"/>
  <c r="BB243" i="25"/>
  <c r="BB191" i="25"/>
  <c r="AL242" i="25"/>
  <c r="AL190" i="25"/>
  <c r="U243" i="25"/>
  <c r="U191" i="25"/>
  <c r="AZ242" i="25"/>
  <c r="AZ190" i="25"/>
  <c r="AJ242" i="25"/>
  <c r="AJ190" i="25"/>
  <c r="T242" i="25"/>
  <c r="T190" i="25"/>
  <c r="H261" i="25"/>
  <c r="H251" i="25"/>
  <c r="H250" i="25"/>
  <c r="H45" i="25"/>
  <c r="AY242" i="25"/>
  <c r="AY190" i="25"/>
  <c r="BC215" i="25"/>
  <c r="BC141" i="25" s="1"/>
  <c r="BC152" i="25" s="1"/>
  <c r="K204" i="25"/>
  <c r="L205" i="25"/>
  <c r="L197" i="25" s="1"/>
  <c r="L196" i="25"/>
  <c r="L185" i="25"/>
  <c r="K193" i="25"/>
  <c r="AE202" i="25"/>
  <c r="AE138" i="25" s="1"/>
  <c r="AE149" i="25" s="1"/>
  <c r="BB203" i="25"/>
  <c r="BB139" i="25" s="1"/>
  <c r="BB150" i="25" s="1"/>
  <c r="AD202" i="25"/>
  <c r="AD138" i="25" s="1"/>
  <c r="AD149" i="25" s="1"/>
  <c r="N202" i="25"/>
  <c r="AG242" i="25"/>
  <c r="AG190" i="25"/>
  <c r="Q242" i="25"/>
  <c r="Q190" i="25"/>
  <c r="AS203" i="25"/>
  <c r="AS139" i="25" s="1"/>
  <c r="AS150" i="25" s="1"/>
  <c r="U203" i="25"/>
  <c r="U139" i="25" s="1"/>
  <c r="U150" i="25" s="1"/>
  <c r="B229" i="25"/>
  <c r="M229" i="25" s="1"/>
  <c r="N39" i="25"/>
  <c r="N27" i="25" s="1"/>
  <c r="AJ203" i="25"/>
  <c r="AJ139" i="25" s="1"/>
  <c r="AJ150" i="25" s="1"/>
  <c r="H252" i="25"/>
  <c r="H253" i="25"/>
  <c r="H46" i="25"/>
  <c r="H48" i="25" s="1"/>
  <c r="H26" i="25" s="1"/>
  <c r="H255" i="25" s="1"/>
  <c r="BJ242" i="25"/>
  <c r="BJ190" i="25"/>
  <c r="N243" i="25"/>
  <c r="N191" i="25"/>
  <c r="J261" i="25"/>
  <c r="J250" i="25"/>
  <c r="J251" i="25"/>
  <c r="J45" i="25"/>
  <c r="AP202" i="25"/>
  <c r="AP138" i="25" s="1"/>
  <c r="AP149" i="25" s="1"/>
  <c r="R203" i="25"/>
  <c r="R139" i="25" s="1"/>
  <c r="R150" i="25" s="1"/>
  <c r="AS242" i="25"/>
  <c r="AS190" i="25"/>
  <c r="U242" i="25"/>
  <c r="U190" i="25"/>
  <c r="BE203" i="25"/>
  <c r="BE139" i="25" s="1"/>
  <c r="BE150" i="25" s="1"/>
  <c r="AI243" i="25"/>
  <c r="AI191" i="25"/>
  <c r="L252" i="25"/>
  <c r="L253" i="25"/>
  <c r="L46" i="25"/>
  <c r="L48" i="25" s="1"/>
  <c r="L26" i="25" s="1"/>
  <c r="L255" i="25" s="1"/>
  <c r="M235" i="25"/>
  <c r="N43" i="25"/>
  <c r="N31" i="25" s="1"/>
  <c r="BE243" i="25"/>
  <c r="BE191" i="25"/>
  <c r="AN243" i="25"/>
  <c r="AN191" i="25"/>
  <c r="T214" i="25"/>
  <c r="T140" i="25" s="1"/>
  <c r="T151" i="25" s="1"/>
  <c r="AN215" i="25"/>
  <c r="AN141" i="25" s="1"/>
  <c r="AN152" i="25" s="1"/>
  <c r="BC203" i="25"/>
  <c r="BC139" i="25" s="1"/>
  <c r="BC150" i="25" s="1"/>
  <c r="AW242" i="25"/>
  <c r="AW190" i="25"/>
  <c r="AV242" i="25"/>
  <c r="AV190" i="25"/>
  <c r="AF242" i="25"/>
  <c r="AF190" i="25"/>
  <c r="P242" i="25"/>
  <c r="P190" i="25"/>
  <c r="L261" i="25"/>
  <c r="L251" i="25"/>
  <c r="L250" i="25"/>
  <c r="L45" i="25"/>
  <c r="AU242" i="25"/>
  <c r="AU190" i="25"/>
  <c r="AE242" i="25"/>
  <c r="AE190" i="25"/>
  <c r="O242" i="25"/>
  <c r="O190" i="25"/>
  <c r="AY202" i="25"/>
  <c r="AY138" i="25" s="1"/>
  <c r="AY149" i="25" s="1"/>
  <c r="AL243" i="25"/>
  <c r="AL191" i="25"/>
  <c r="V242" i="25"/>
  <c r="V190" i="25"/>
  <c r="BA243" i="25"/>
  <c r="BK189" i="25"/>
  <c r="BA191" i="25"/>
  <c r="AW202" i="25"/>
  <c r="AW138" i="25" s="1"/>
  <c r="AW149" i="25" s="1"/>
  <c r="AG203" i="25"/>
  <c r="AG139" i="25" s="1"/>
  <c r="AG150" i="25" s="1"/>
  <c r="AV203" i="25"/>
  <c r="AV139" i="25" s="1"/>
  <c r="AV150" i="25" s="1"/>
  <c r="X202" i="25"/>
  <c r="X138" i="25" s="1"/>
  <c r="X149" i="25" s="1"/>
  <c r="BG243" i="25"/>
  <c r="BG191" i="25"/>
  <c r="AI242" i="25"/>
  <c r="AI190" i="25"/>
  <c r="D252" i="25"/>
  <c r="D253" i="25"/>
  <c r="D46" i="25"/>
  <c r="D48" i="25" s="1"/>
  <c r="D26" i="25" s="1"/>
  <c r="D255" i="25" s="1"/>
  <c r="AJ215" i="25"/>
  <c r="AJ141" i="25" s="1"/>
  <c r="AJ152" i="25" s="1"/>
  <c r="AZ214" i="25"/>
  <c r="AZ140" i="25" s="1"/>
  <c r="AZ151" i="25" s="1"/>
  <c r="U215" i="25"/>
  <c r="U141" i="25" s="1"/>
  <c r="U152" i="25" s="1"/>
  <c r="AL214" i="25"/>
  <c r="AL140" i="25" s="1"/>
  <c r="AL151" i="25" s="1"/>
  <c r="AU202" i="25"/>
  <c r="AU138" i="25" s="1"/>
  <c r="AU149" i="25" s="1"/>
  <c r="BF243" i="25"/>
  <c r="BF191" i="25"/>
  <c r="AP243" i="25"/>
  <c r="AP191" i="25"/>
  <c r="Z243" i="25"/>
  <c r="Z191" i="25"/>
  <c r="AG243" i="25"/>
  <c r="AG191" i="25"/>
  <c r="Q243" i="25"/>
  <c r="Q191" i="25"/>
  <c r="M261" i="25"/>
  <c r="M251" i="25"/>
  <c r="M250" i="25"/>
  <c r="M45" i="25"/>
  <c r="AK203" i="25"/>
  <c r="AK139" i="25" s="1"/>
  <c r="AK150" i="25" s="1"/>
  <c r="AZ202" i="25"/>
  <c r="AZ138" i="25" s="1"/>
  <c r="AZ149" i="25" s="1"/>
  <c r="T202" i="25"/>
  <c r="T138" i="25" s="1"/>
  <c r="T149" i="25" s="1"/>
  <c r="K251" i="25"/>
  <c r="K250" i="25"/>
  <c r="K261" i="25"/>
  <c r="K45" i="25"/>
  <c r="AA202" i="25"/>
  <c r="AA138" i="25" s="1"/>
  <c r="AA149" i="25" s="1"/>
  <c r="BJ243" i="25"/>
  <c r="BJ191" i="25"/>
  <c r="AT242" i="25"/>
  <c r="AT190" i="25"/>
  <c r="F247" i="25"/>
  <c r="BF202" i="25"/>
  <c r="BF138" i="25" s="1"/>
  <c r="BF149" i="25" s="1"/>
  <c r="BK187" i="25"/>
  <c r="AC243" i="25"/>
  <c r="AC191" i="25"/>
  <c r="BH243" i="25"/>
  <c r="BH191" i="25"/>
  <c r="AR243" i="25"/>
  <c r="AR191" i="25"/>
  <c r="AB243" i="25"/>
  <c r="AB191" i="25"/>
  <c r="AN202" i="25"/>
  <c r="AN138" i="25" s="1"/>
  <c r="AN149" i="25" s="1"/>
  <c r="BG242" i="25"/>
  <c r="BG190" i="25"/>
  <c r="S243" i="25"/>
  <c r="S191" i="25"/>
  <c r="R242" i="25"/>
  <c r="R190" i="25"/>
  <c r="I253" i="25"/>
  <c r="I252" i="25"/>
  <c r="I46" i="25"/>
  <c r="I48" i="25" s="1"/>
  <c r="I26" i="25" s="1"/>
  <c r="I255" i="25" s="1"/>
  <c r="W243" i="25"/>
  <c r="W191" i="25"/>
  <c r="W202" i="25"/>
  <c r="W138" i="25" s="1"/>
  <c r="W149" i="25" s="1"/>
  <c r="BF242" i="25"/>
  <c r="BF190" i="25"/>
  <c r="AP242" i="25"/>
  <c r="AP190" i="25"/>
  <c r="Z242" i="25"/>
  <c r="Z190" i="25"/>
  <c r="K252" i="25"/>
  <c r="K253" i="25"/>
  <c r="K46" i="25"/>
  <c r="K48" i="25" s="1"/>
  <c r="K26" i="25" s="1"/>
  <c r="K255" i="25" s="1"/>
  <c r="AT203" i="25"/>
  <c r="AT139" i="25" s="1"/>
  <c r="AT150" i="25" s="1"/>
  <c r="B203" i="25"/>
  <c r="M203" i="25" s="1"/>
  <c r="N139" i="25"/>
  <c r="N150" i="25" s="1"/>
  <c r="AW243" i="25"/>
  <c r="AW191" i="25"/>
  <c r="BI203" i="25"/>
  <c r="BI139" i="25" s="1"/>
  <c r="BI150" i="25" s="1"/>
  <c r="AV243" i="25"/>
  <c r="AV191" i="25"/>
  <c r="AF243" i="25"/>
  <c r="AF191" i="25"/>
  <c r="P243" i="25"/>
  <c r="P191" i="25"/>
  <c r="AU243" i="25"/>
  <c r="AU191" i="25"/>
  <c r="AE243" i="25"/>
  <c r="AE191" i="25"/>
  <c r="O243" i="25"/>
  <c r="O191" i="25"/>
  <c r="AQ203" i="25"/>
  <c r="AQ139" i="25" s="1"/>
  <c r="AQ150" i="25" s="1"/>
  <c r="V243" i="25"/>
  <c r="V191" i="25"/>
  <c r="AH202" i="25"/>
  <c r="AH138" i="25" s="1"/>
  <c r="AH149" i="25" s="1"/>
  <c r="BI243" i="25"/>
  <c r="BI191" i="25"/>
  <c r="AC242" i="25"/>
  <c r="AC190" i="25"/>
  <c r="M247" i="25"/>
  <c r="Y202" i="25"/>
  <c r="Y138" i="25" s="1"/>
  <c r="Y149" i="25" s="1"/>
  <c r="BH242" i="25"/>
  <c r="BH190" i="25"/>
  <c r="AR242" i="25"/>
  <c r="AR190" i="25"/>
  <c r="AB242" i="25"/>
  <c r="AB190" i="25"/>
  <c r="AQ243" i="25"/>
  <c r="AQ191" i="25"/>
  <c r="S242" i="25"/>
  <c r="S190" i="25"/>
  <c r="G251" i="25"/>
  <c r="G261" i="25"/>
  <c r="G250" i="25"/>
  <c r="G45" i="25"/>
  <c r="AO242" i="25"/>
  <c r="AX242" i="25"/>
  <c r="AX190" i="25"/>
  <c r="I261" i="25"/>
  <c r="I250" i="25"/>
  <c r="I251" i="25"/>
  <c r="I45" i="25"/>
  <c r="AY214" i="25"/>
  <c r="AY140" i="25" s="1"/>
  <c r="AY151" i="25" s="1"/>
  <c r="AL202" i="25"/>
  <c r="AL138" i="25" s="1"/>
  <c r="AL149" i="25" s="1"/>
  <c r="V202" i="25"/>
  <c r="V138" i="25" s="1"/>
  <c r="V149" i="25" s="1"/>
  <c r="Y242" i="25"/>
  <c r="Y190" i="25"/>
  <c r="E261" i="25"/>
  <c r="E251" i="25"/>
  <c r="E250" i="25"/>
  <c r="E45" i="25"/>
  <c r="D251" i="25"/>
  <c r="D261" i="25"/>
  <c r="D250" i="25"/>
  <c r="D45" i="25"/>
  <c r="AT243" i="25"/>
  <c r="AT191" i="25"/>
  <c r="AD242" i="25"/>
  <c r="AD190" i="25"/>
  <c r="BA242" i="25"/>
  <c r="BK188" i="25"/>
  <c r="BA190" i="25"/>
  <c r="AK243" i="25"/>
  <c r="AK191" i="25"/>
  <c r="M253" i="25"/>
  <c r="M252" i="25"/>
  <c r="M46" i="25"/>
  <c r="M48" i="25" s="1"/>
  <c r="M26" i="25" s="1"/>
  <c r="M255" i="25" s="1"/>
  <c r="AQ242" i="25"/>
  <c r="AQ190" i="25"/>
  <c r="BD243" i="25"/>
  <c r="BD191" i="25"/>
  <c r="R214" i="25"/>
  <c r="R140" i="25" s="1"/>
  <c r="R151" i="25" s="1"/>
  <c r="T215" i="25"/>
  <c r="T141" i="25" s="1"/>
  <c r="T152" i="25" s="1"/>
  <c r="AJ214" i="25"/>
  <c r="AJ140" i="25" s="1"/>
  <c r="AJ151" i="25" s="1"/>
  <c r="F250" i="25"/>
  <c r="F251" i="25"/>
  <c r="F261" i="25"/>
  <c r="F45" i="25"/>
  <c r="BJ203" i="25"/>
  <c r="BJ139" i="25" s="1"/>
  <c r="BJ150" i="25" s="1"/>
  <c r="BE242" i="25"/>
  <c r="BE190" i="25"/>
  <c r="BK199" i="25"/>
  <c r="BD242" i="25"/>
  <c r="BD190" i="25"/>
  <c r="AN242" i="25"/>
  <c r="AN190" i="25"/>
  <c r="X242" i="25"/>
  <c r="X190" i="25"/>
  <c r="BH203" i="25"/>
  <c r="BH139" i="25" s="1"/>
  <c r="BH150" i="25" s="1"/>
  <c r="AR202" i="25"/>
  <c r="AR138" i="25" s="1"/>
  <c r="AR149" i="25" s="1"/>
  <c r="BC242" i="25"/>
  <c r="BC190" i="25"/>
  <c r="AM242" i="25"/>
  <c r="AM190" i="25"/>
  <c r="W242" i="25"/>
  <c r="W190" i="25"/>
  <c r="BG203" i="25"/>
  <c r="BG139" i="25" s="1"/>
  <c r="BG150" i="25" s="1"/>
  <c r="AI203" i="25"/>
  <c r="AI139" i="25" s="1"/>
  <c r="AI150" i="25" s="1"/>
  <c r="S202" i="25"/>
  <c r="S138" i="25" s="1"/>
  <c r="S149" i="25" s="1"/>
  <c r="BB242" i="25"/>
  <c r="BB190" i="25"/>
  <c r="AX202" i="25"/>
  <c r="AX138" i="25" s="1"/>
  <c r="AX149" i="25" s="1"/>
  <c r="Z203" i="25"/>
  <c r="Z139" i="25" s="1"/>
  <c r="Z150" i="25" s="1"/>
  <c r="BK211" i="25"/>
  <c r="AK242" i="25"/>
  <c r="AK190" i="25"/>
  <c r="F253" i="25"/>
  <c r="F252" i="25"/>
  <c r="F46" i="25"/>
  <c r="F48" i="25" s="1"/>
  <c r="F26" i="25" s="1"/>
  <c r="F255" i="25" s="1"/>
  <c r="Q202" i="25"/>
  <c r="Q138" i="25" s="1"/>
  <c r="Q149" i="25" s="1"/>
  <c r="E253" i="25"/>
  <c r="E252" i="25"/>
  <c r="E46" i="25"/>
  <c r="E48" i="25" s="1"/>
  <c r="E26" i="25" s="1"/>
  <c r="E255" i="25" s="1"/>
  <c r="AF202" i="25"/>
  <c r="AF138" i="25" s="1"/>
  <c r="AF149" i="25" s="1"/>
  <c r="P203" i="25"/>
  <c r="P139" i="25" s="1"/>
  <c r="P150" i="25" s="1"/>
  <c r="AA243" i="25"/>
  <c r="AA191" i="25"/>
  <c r="M224" i="25"/>
  <c r="N42" i="25"/>
  <c r="N30" i="25" s="1"/>
  <c r="AH242" i="25"/>
  <c r="AH190" i="25"/>
  <c r="M200" i="25"/>
  <c r="M198" i="25"/>
  <c r="M199" i="25" s="1"/>
  <c r="BK35" i="25"/>
  <c r="BK36" i="25"/>
  <c r="AM215" i="25"/>
  <c r="AM141" i="25" s="1"/>
  <c r="AM152" i="25" s="1"/>
  <c r="BK213" i="25"/>
  <c r="AZ215" i="25"/>
  <c r="AZ141" i="25" s="1"/>
  <c r="AZ152" i="25" s="1"/>
  <c r="AM203" i="25"/>
  <c r="AM139" i="25" s="1"/>
  <c r="AM150" i="25" s="1"/>
  <c r="O202" i="25"/>
  <c r="O138" i="25" s="1"/>
  <c r="O149" i="25" s="1"/>
  <c r="AX243" i="25"/>
  <c r="AX191" i="25"/>
  <c r="AH243" i="25"/>
  <c r="AH191" i="25"/>
  <c r="R243" i="25"/>
  <c r="R191" i="25"/>
  <c r="AO243" i="25"/>
  <c r="AO191" i="25"/>
  <c r="Y243" i="25"/>
  <c r="Y191" i="25"/>
  <c r="J252" i="25"/>
  <c r="J253" i="25"/>
  <c r="J46" i="25"/>
  <c r="J48" i="25" s="1"/>
  <c r="J26" i="25" s="1"/>
  <c r="J255" i="25" s="1"/>
  <c r="BK201" i="25"/>
  <c r="BA203" i="25"/>
  <c r="BA139" i="25" s="1"/>
  <c r="BA150" i="25" s="1"/>
  <c r="BA202" i="25"/>
  <c r="BA138" i="25" s="1"/>
  <c r="BA149" i="25" s="1"/>
  <c r="BK200" i="25"/>
  <c r="AC203" i="25"/>
  <c r="AC139" i="25" s="1"/>
  <c r="AC150" i="25" s="1"/>
  <c r="AS243" i="25"/>
  <c r="AS191" i="25"/>
  <c r="AB202" i="25"/>
  <c r="AB138" i="25" s="1"/>
  <c r="AB149" i="25" s="1"/>
  <c r="AD243" i="25"/>
  <c r="AD191" i="25"/>
  <c r="N242" i="25"/>
  <c r="N190" i="25"/>
  <c r="G252" i="25"/>
  <c r="G253" i="25"/>
  <c r="G46" i="25"/>
  <c r="G48" i="25" s="1"/>
  <c r="G26" i="25" s="1"/>
  <c r="G255" i="25" s="1"/>
  <c r="BI242" i="25"/>
  <c r="BI190" i="25"/>
  <c r="AO203" i="25"/>
  <c r="AO139" i="25" s="1"/>
  <c r="AO150" i="25" s="1"/>
  <c r="AZ243" i="25"/>
  <c r="AZ191" i="25"/>
  <c r="AJ243" i="25"/>
  <c r="AJ191" i="25"/>
  <c r="T243" i="25"/>
  <c r="T191" i="25"/>
  <c r="BD203" i="25"/>
  <c r="BD139" i="25" s="1"/>
  <c r="BD150" i="25" s="1"/>
  <c r="AY243" i="25"/>
  <c r="AY191" i="25"/>
  <c r="AA242" i="25"/>
  <c r="AA190" i="25"/>
  <c r="AO40" i="25" l="1"/>
  <c r="AO28" i="25" s="1"/>
  <c r="J217" i="25"/>
  <c r="K34" i="25"/>
  <c r="J7" i="30"/>
  <c r="K4" i="33"/>
  <c r="K3" i="30"/>
  <c r="J9" i="33"/>
  <c r="J8" i="30"/>
  <c r="BM62" i="27"/>
  <c r="BM51" i="27" s="1"/>
  <c r="BM43" i="27" s="1"/>
  <c r="BL51" i="27"/>
  <c r="BL43" i="27" s="1"/>
  <c r="J7" i="33"/>
  <c r="J5" i="33"/>
  <c r="J6" i="33"/>
  <c r="J4" i="30"/>
  <c r="J5" i="30"/>
  <c r="J6" i="30"/>
  <c r="H42" i="27"/>
  <c r="K8" i="33" s="1"/>
  <c r="L201" i="25"/>
  <c r="I7" i="30"/>
  <c r="G52" i="27"/>
  <c r="G44" i="27" s="1"/>
  <c r="H60" i="27"/>
  <c r="H49" i="27" s="1"/>
  <c r="H41" i="27" s="1"/>
  <c r="I59" i="27"/>
  <c r="H48" i="27"/>
  <c r="H40" i="27" s="1"/>
  <c r="I50" i="27"/>
  <c r="L229" i="25"/>
  <c r="M227" i="25"/>
  <c r="M39" i="25"/>
  <c r="M27" i="25" s="1"/>
  <c r="L203" i="25"/>
  <c r="M139" i="25"/>
  <c r="M150" i="25" s="1"/>
  <c r="L214" i="25"/>
  <c r="M140" i="25"/>
  <c r="M151" i="25" s="1"/>
  <c r="BE137" i="25"/>
  <c r="BE148" i="25" s="1"/>
  <c r="BE41" i="25"/>
  <c r="BE29" i="25" s="1"/>
  <c r="J47" i="25"/>
  <c r="J50" i="25"/>
  <c r="AA257" i="25"/>
  <c r="AA244" i="25"/>
  <c r="AA247" i="25" s="1"/>
  <c r="AA245" i="25"/>
  <c r="AZ137" i="25"/>
  <c r="AZ148" i="25" s="1"/>
  <c r="AZ41" i="25"/>
  <c r="AZ29" i="25" s="1"/>
  <c r="B190" i="25"/>
  <c r="M190" i="25"/>
  <c r="N136" i="25"/>
  <c r="N147" i="25" s="1"/>
  <c r="N40" i="25"/>
  <c r="N28" i="25" s="1"/>
  <c r="Y258" i="25"/>
  <c r="Y246" i="25"/>
  <c r="AX258" i="25"/>
  <c r="AX246" i="25"/>
  <c r="BC257" i="25"/>
  <c r="BC244" i="25"/>
  <c r="BC247" i="25" s="1"/>
  <c r="BC245" i="25"/>
  <c r="BD136" i="25"/>
  <c r="BD147" i="25" s="1"/>
  <c r="BD40" i="25"/>
  <c r="BD28" i="25" s="1"/>
  <c r="AQ257" i="25"/>
  <c r="AQ245" i="25"/>
  <c r="AQ244" i="25"/>
  <c r="AQ247" i="25" s="1"/>
  <c r="BA257" i="25"/>
  <c r="BA245" i="25"/>
  <c r="BA244" i="25"/>
  <c r="BA247" i="25" s="1"/>
  <c r="AO257" i="25"/>
  <c r="AO244" i="25"/>
  <c r="AO247" i="25" s="1"/>
  <c r="AO245" i="25"/>
  <c r="AQ246" i="25"/>
  <c r="AQ258" i="25"/>
  <c r="P258" i="25"/>
  <c r="P246" i="25"/>
  <c r="Z257" i="25"/>
  <c r="Z244" i="25"/>
  <c r="Z247" i="25" s="1"/>
  <c r="Z245" i="25"/>
  <c r="BG257" i="25"/>
  <c r="BG244" i="25"/>
  <c r="BG247" i="25" s="1"/>
  <c r="BG245" i="25"/>
  <c r="AC137" i="25"/>
  <c r="AC148" i="25" s="1"/>
  <c r="AC41" i="25"/>
  <c r="AC29" i="25" s="1"/>
  <c r="BJ258" i="25"/>
  <c r="BJ246" i="25"/>
  <c r="AG246" i="25"/>
  <c r="AG258" i="25"/>
  <c r="AI257" i="25"/>
  <c r="AI245" i="25"/>
  <c r="AI244" i="25"/>
  <c r="AI247" i="25" s="1"/>
  <c r="O257" i="25"/>
  <c r="O244" i="25"/>
  <c r="O247" i="25" s="1"/>
  <c r="O245" i="25"/>
  <c r="AW257" i="25"/>
  <c r="AW244" i="25"/>
  <c r="AW247" i="25" s="1"/>
  <c r="AW245" i="25"/>
  <c r="BE258" i="25"/>
  <c r="BE246" i="25"/>
  <c r="Q136" i="25"/>
  <c r="Q147" i="25" s="1"/>
  <c r="Q40" i="25"/>
  <c r="Q28" i="25" s="1"/>
  <c r="J193" i="25"/>
  <c r="K185" i="25"/>
  <c r="AY257" i="25"/>
  <c r="AY244" i="25"/>
  <c r="AY247" i="25" s="1"/>
  <c r="AY245" i="25"/>
  <c r="AJ257" i="25"/>
  <c r="AJ244" i="25"/>
  <c r="AJ247" i="25" s="1"/>
  <c r="AJ245" i="25"/>
  <c r="BB246" i="25"/>
  <c r="BB258" i="25"/>
  <c r="L215" i="25"/>
  <c r="M141" i="25"/>
  <c r="M152" i="25" s="1"/>
  <c r="AJ258" i="25"/>
  <c r="AJ246" i="25"/>
  <c r="BC136" i="25"/>
  <c r="BC147" i="25" s="1"/>
  <c r="BC40" i="25"/>
  <c r="BC28" i="25" s="1"/>
  <c r="Z136" i="25"/>
  <c r="Z147" i="25" s="1"/>
  <c r="Z40" i="25"/>
  <c r="Z28" i="25" s="1"/>
  <c r="AG137" i="25"/>
  <c r="AG148" i="25" s="1"/>
  <c r="AG41" i="25"/>
  <c r="AG29" i="25" s="1"/>
  <c r="AI258" i="25"/>
  <c r="AI246" i="25"/>
  <c r="BB137" i="25"/>
  <c r="BB148" i="25" s="1"/>
  <c r="BB41" i="25"/>
  <c r="BB29" i="25" s="1"/>
  <c r="AY137" i="25"/>
  <c r="AY148" i="25" s="1"/>
  <c r="AY41" i="25"/>
  <c r="AY29" i="25" s="1"/>
  <c r="AZ258" i="25"/>
  <c r="AZ246" i="25"/>
  <c r="N245" i="25"/>
  <c r="N257" i="25"/>
  <c r="N244" i="25"/>
  <c r="N247" i="25" s="1"/>
  <c r="AO137" i="25"/>
  <c r="AO148" i="25" s="1"/>
  <c r="AO41" i="25"/>
  <c r="AO29" i="25" s="1"/>
  <c r="AK136" i="25"/>
  <c r="AK147" i="25" s="1"/>
  <c r="AK40" i="25"/>
  <c r="AK28" i="25" s="1"/>
  <c r="BD257" i="25"/>
  <c r="BD245" i="25"/>
  <c r="BD244" i="25"/>
  <c r="BD247" i="25" s="1"/>
  <c r="AD136" i="25"/>
  <c r="AD147" i="25" s="1"/>
  <c r="AD40" i="25"/>
  <c r="AD28" i="25" s="1"/>
  <c r="E47" i="25"/>
  <c r="E50" i="25"/>
  <c r="G47" i="25"/>
  <c r="G50" i="25"/>
  <c r="AB136" i="25"/>
  <c r="AB147" i="25" s="1"/>
  <c r="AB40" i="25"/>
  <c r="AB28" i="25" s="1"/>
  <c r="AC136" i="25"/>
  <c r="AC147" i="25" s="1"/>
  <c r="AC40" i="25"/>
  <c r="AC28" i="25" s="1"/>
  <c r="O137" i="25"/>
  <c r="O148" i="25" s="1"/>
  <c r="O41" i="25"/>
  <c r="O29" i="25" s="1"/>
  <c r="AF137" i="25"/>
  <c r="AF148" i="25" s="1"/>
  <c r="AF41" i="25"/>
  <c r="AF29" i="25" s="1"/>
  <c r="AP136" i="25"/>
  <c r="AP147" i="25" s="1"/>
  <c r="AP40" i="25"/>
  <c r="AP28" i="25" s="1"/>
  <c r="AC258" i="25"/>
  <c r="AC246" i="25"/>
  <c r="M47" i="25"/>
  <c r="M50" i="25"/>
  <c r="Z137" i="25"/>
  <c r="Z148" i="25" s="1"/>
  <c r="Z41" i="25"/>
  <c r="Z29" i="25" s="1"/>
  <c r="BG41" i="25"/>
  <c r="BG29" i="25" s="1"/>
  <c r="BG137" i="25"/>
  <c r="BG148" i="25" s="1"/>
  <c r="BA258" i="25"/>
  <c r="BA246" i="25"/>
  <c r="AE136" i="25"/>
  <c r="AE147" i="25" s="1"/>
  <c r="AE40" i="25"/>
  <c r="AE28" i="25" s="1"/>
  <c r="P136" i="25"/>
  <c r="P147" i="25" s="1"/>
  <c r="P40" i="25"/>
  <c r="P28" i="25" s="1"/>
  <c r="U136" i="25"/>
  <c r="U147" i="25" s="1"/>
  <c r="U40" i="25"/>
  <c r="U28" i="25" s="1"/>
  <c r="Q257" i="25"/>
  <c r="Q244" i="25"/>
  <c r="Q247" i="25" s="1"/>
  <c r="Q245" i="25"/>
  <c r="H50" i="25"/>
  <c r="H47" i="25"/>
  <c r="AZ136" i="25"/>
  <c r="AZ147" i="25" s="1"/>
  <c r="AZ40" i="25"/>
  <c r="AZ28" i="25" s="1"/>
  <c r="AM137" i="25"/>
  <c r="AM148" i="25" s="1"/>
  <c r="AM41" i="25"/>
  <c r="AM29" i="25" s="1"/>
  <c r="AQ136" i="25"/>
  <c r="AQ147" i="25" s="1"/>
  <c r="AQ40" i="25"/>
  <c r="AQ28" i="25" s="1"/>
  <c r="P41" i="25"/>
  <c r="P29" i="25" s="1"/>
  <c r="P137" i="25"/>
  <c r="P148" i="25" s="1"/>
  <c r="AJ136" i="25"/>
  <c r="AJ147" i="25" s="1"/>
  <c r="AJ40" i="25"/>
  <c r="AJ28" i="25" s="1"/>
  <c r="AY246" i="25"/>
  <c r="AY258" i="25"/>
  <c r="AD137" i="25"/>
  <c r="AD148" i="25" s="1"/>
  <c r="AD41" i="25"/>
  <c r="AD29" i="25" s="1"/>
  <c r="AO258" i="25"/>
  <c r="AO246" i="25"/>
  <c r="AH136" i="25"/>
  <c r="AH147" i="25" s="1"/>
  <c r="AH40" i="25"/>
  <c r="AH28" i="25" s="1"/>
  <c r="AK245" i="25"/>
  <c r="AK257" i="25"/>
  <c r="AK244" i="25"/>
  <c r="AK247" i="25" s="1"/>
  <c r="AD245" i="25"/>
  <c r="AD244" i="25"/>
  <c r="AD247" i="25" s="1"/>
  <c r="AD257" i="25"/>
  <c r="I47" i="25"/>
  <c r="I50" i="25"/>
  <c r="AB257" i="25"/>
  <c r="AB244" i="25"/>
  <c r="AB247" i="25" s="1"/>
  <c r="AB245" i="25"/>
  <c r="AC257" i="25"/>
  <c r="AC245" i="25"/>
  <c r="AC244" i="25"/>
  <c r="AC247" i="25" s="1"/>
  <c r="O258" i="25"/>
  <c r="O246" i="25"/>
  <c r="AF258" i="25"/>
  <c r="AF246" i="25"/>
  <c r="AP257" i="25"/>
  <c r="AP244" i="25"/>
  <c r="AP247" i="25" s="1"/>
  <c r="AP245" i="25"/>
  <c r="AB137" i="25"/>
  <c r="AB148" i="25" s="1"/>
  <c r="AB41" i="25"/>
  <c r="AB29" i="25" s="1"/>
  <c r="K50" i="25"/>
  <c r="K47" i="25"/>
  <c r="Z258" i="25"/>
  <c r="Z246" i="25"/>
  <c r="BG258" i="25"/>
  <c r="BG246" i="25"/>
  <c r="V40" i="25"/>
  <c r="V28" i="25" s="1"/>
  <c r="V136" i="25"/>
  <c r="V147" i="25" s="1"/>
  <c r="AE257" i="25"/>
  <c r="AE244" i="25"/>
  <c r="AE247" i="25" s="1"/>
  <c r="AE245" i="25"/>
  <c r="P257" i="25"/>
  <c r="P244" i="25"/>
  <c r="P247" i="25" s="1"/>
  <c r="P245" i="25"/>
  <c r="L235" i="25"/>
  <c r="M43" i="25"/>
  <c r="M31" i="25" s="1"/>
  <c r="M233" i="25"/>
  <c r="U245" i="25"/>
  <c r="U257" i="25"/>
  <c r="U244" i="25"/>
  <c r="U247" i="25" s="1"/>
  <c r="AG136" i="25"/>
  <c r="AG147" i="25" s="1"/>
  <c r="AG40" i="25"/>
  <c r="AG28" i="25" s="1"/>
  <c r="L200" i="25"/>
  <c r="L198" i="25"/>
  <c r="L199" i="25" s="1"/>
  <c r="AZ257" i="25"/>
  <c r="AZ244" i="25"/>
  <c r="AZ247" i="25" s="1"/>
  <c r="AZ245" i="25"/>
  <c r="AM258" i="25"/>
  <c r="AM246" i="25"/>
  <c r="AX137" i="25"/>
  <c r="AX148" i="25" s="1"/>
  <c r="AX41" i="25"/>
  <c r="AX29" i="25" s="1"/>
  <c r="BB257" i="25"/>
  <c r="BB245" i="25"/>
  <c r="BB244" i="25"/>
  <c r="BB247" i="25" s="1"/>
  <c r="AX257" i="25"/>
  <c r="AX244" i="25"/>
  <c r="AX247" i="25" s="1"/>
  <c r="AX245" i="25"/>
  <c r="W246" i="25"/>
  <c r="W258" i="25"/>
  <c r="AI136" i="25"/>
  <c r="AI147" i="25" s="1"/>
  <c r="AI40" i="25"/>
  <c r="AI28" i="25" s="1"/>
  <c r="AY136" i="25"/>
  <c r="AY147" i="25" s="1"/>
  <c r="AY40" i="25"/>
  <c r="AY28" i="25" s="1"/>
  <c r="BI40" i="25"/>
  <c r="BI28" i="25" s="1"/>
  <c r="BI136" i="25"/>
  <c r="BI147" i="25" s="1"/>
  <c r="AD258" i="25"/>
  <c r="AD246" i="25"/>
  <c r="R137" i="25"/>
  <c r="R148" i="25" s="1"/>
  <c r="R41" i="25"/>
  <c r="R29" i="25" s="1"/>
  <c r="AH245" i="25"/>
  <c r="AH257" i="25"/>
  <c r="AH244" i="25"/>
  <c r="AH247" i="25" s="1"/>
  <c r="W40" i="25"/>
  <c r="W28" i="25" s="1"/>
  <c r="W136" i="25"/>
  <c r="W147" i="25" s="1"/>
  <c r="BE136" i="25"/>
  <c r="BE147" i="25" s="1"/>
  <c r="BE40" i="25"/>
  <c r="BE28" i="25" s="1"/>
  <c r="AT137" i="25"/>
  <c r="AT148" i="25" s="1"/>
  <c r="AT41" i="25"/>
  <c r="AT29" i="25" s="1"/>
  <c r="AR136" i="25"/>
  <c r="AR147" i="25" s="1"/>
  <c r="AR40" i="25"/>
  <c r="AR28" i="25" s="1"/>
  <c r="BI137" i="25"/>
  <c r="BI148" i="25" s="1"/>
  <c r="BI41" i="25"/>
  <c r="BI29" i="25" s="1"/>
  <c r="AE137" i="25"/>
  <c r="AE148" i="25" s="1"/>
  <c r="AE41" i="25"/>
  <c r="AE29" i="25" s="1"/>
  <c r="AV137" i="25"/>
  <c r="AV148" i="25" s="1"/>
  <c r="AV41" i="25"/>
  <c r="AV29" i="25" s="1"/>
  <c r="BF136" i="25"/>
  <c r="BF147" i="25" s="1"/>
  <c r="BF40" i="25"/>
  <c r="BF28" i="25" s="1"/>
  <c r="R136" i="25"/>
  <c r="R147" i="25" s="1"/>
  <c r="R40" i="25"/>
  <c r="R28" i="25" s="1"/>
  <c r="AB258" i="25"/>
  <c r="AB246" i="25"/>
  <c r="AP137" i="25"/>
  <c r="AP148" i="25" s="1"/>
  <c r="AP41" i="25"/>
  <c r="AP29" i="25" s="1"/>
  <c r="V245" i="25"/>
  <c r="V244" i="25"/>
  <c r="V247" i="25" s="1"/>
  <c r="V257" i="25"/>
  <c r="AU40" i="25"/>
  <c r="AU28" i="25" s="1"/>
  <c r="AU136" i="25"/>
  <c r="AU147" i="25" s="1"/>
  <c r="AF136" i="25"/>
  <c r="AF147" i="25" s="1"/>
  <c r="AF40" i="25"/>
  <c r="AF28" i="25" s="1"/>
  <c r="AS136" i="25"/>
  <c r="AS147" i="25" s="1"/>
  <c r="AS40" i="25"/>
  <c r="AS28" i="25" s="1"/>
  <c r="B191" i="25"/>
  <c r="M191" i="25" s="1"/>
  <c r="N137" i="25"/>
  <c r="N148" i="25" s="1"/>
  <c r="N41" i="25"/>
  <c r="N29" i="25" s="1"/>
  <c r="AG257" i="25"/>
  <c r="AG245" i="25"/>
  <c r="AG244" i="25"/>
  <c r="AG247" i="25" s="1"/>
  <c r="U137" i="25"/>
  <c r="U148" i="25" s="1"/>
  <c r="U41" i="25"/>
  <c r="U29" i="25" s="1"/>
  <c r="BC137" i="25"/>
  <c r="BC148" i="25" s="1"/>
  <c r="BC41" i="25"/>
  <c r="BC29" i="25" s="1"/>
  <c r="Y137" i="25"/>
  <c r="Y148" i="25" s="1"/>
  <c r="Y41" i="25"/>
  <c r="Y29" i="25" s="1"/>
  <c r="AW246" i="25"/>
  <c r="AW258" i="25"/>
  <c r="BJ137" i="25"/>
  <c r="BJ148" i="25" s="1"/>
  <c r="BJ41" i="25"/>
  <c r="BJ29" i="25" s="1"/>
  <c r="AW40" i="25"/>
  <c r="AW28" i="25" s="1"/>
  <c r="AW136" i="25"/>
  <c r="AW147" i="25" s="1"/>
  <c r="T137" i="25"/>
  <c r="T148" i="25" s="1"/>
  <c r="T41" i="25"/>
  <c r="T29" i="25" s="1"/>
  <c r="BI245" i="25"/>
  <c r="BI257" i="25"/>
  <c r="BI244" i="25"/>
  <c r="BI247" i="25" s="1"/>
  <c r="R258" i="25"/>
  <c r="R246" i="25"/>
  <c r="W257" i="25"/>
  <c r="W244" i="25"/>
  <c r="W247" i="25" s="1"/>
  <c r="W245" i="25"/>
  <c r="X136" i="25"/>
  <c r="X147" i="25" s="1"/>
  <c r="X40" i="25"/>
  <c r="X28" i="25" s="1"/>
  <c r="BE245" i="25"/>
  <c r="BE244" i="25"/>
  <c r="BE247" i="25" s="1"/>
  <c r="BE257" i="25"/>
  <c r="AK137" i="25"/>
  <c r="AK148" i="25" s="1"/>
  <c r="AK41" i="25"/>
  <c r="AK29" i="25" s="1"/>
  <c r="AT258" i="25"/>
  <c r="AT246" i="25"/>
  <c r="AR257" i="25"/>
  <c r="AR245" i="25"/>
  <c r="AR244" i="25"/>
  <c r="AR247" i="25" s="1"/>
  <c r="BI258" i="25"/>
  <c r="BI246" i="25"/>
  <c r="AE246" i="25"/>
  <c r="AE258" i="25"/>
  <c r="AV258" i="25"/>
  <c r="AV246" i="25"/>
  <c r="BF245" i="25"/>
  <c r="BF257" i="25"/>
  <c r="BF244" i="25"/>
  <c r="BF247" i="25" s="1"/>
  <c r="R244" i="25"/>
  <c r="R247" i="25" s="1"/>
  <c r="R257" i="25"/>
  <c r="R245" i="25"/>
  <c r="AR137" i="25"/>
  <c r="AR148" i="25" s="1"/>
  <c r="AR41" i="25"/>
  <c r="AR29" i="25" s="1"/>
  <c r="AP246" i="25"/>
  <c r="AP258" i="25"/>
  <c r="AL137" i="25"/>
  <c r="AL148" i="25" s="1"/>
  <c r="AL41" i="25"/>
  <c r="AL29" i="25" s="1"/>
  <c r="AU257" i="25"/>
  <c r="AU244" i="25"/>
  <c r="AU247" i="25" s="1"/>
  <c r="AU245" i="25"/>
  <c r="AF257" i="25"/>
  <c r="AF244" i="25"/>
  <c r="AF247" i="25" s="1"/>
  <c r="AF245" i="25"/>
  <c r="AS245" i="25"/>
  <c r="AS257" i="25"/>
  <c r="AS244" i="25"/>
  <c r="AS247" i="25" s="1"/>
  <c r="N258" i="25"/>
  <c r="N246" i="25"/>
  <c r="B202" i="25"/>
  <c r="M202" i="25" s="1"/>
  <c r="N138" i="25"/>
  <c r="N149" i="25" s="1"/>
  <c r="U258" i="25"/>
  <c r="U246" i="25"/>
  <c r="BC258" i="25"/>
  <c r="BC246" i="25"/>
  <c r="AN257" i="25"/>
  <c r="AN244" i="25"/>
  <c r="AN247" i="25" s="1"/>
  <c r="AN245" i="25"/>
  <c r="AQ41" i="25"/>
  <c r="AQ29" i="25" s="1"/>
  <c r="AQ137" i="25"/>
  <c r="AQ148" i="25" s="1"/>
  <c r="BG136" i="25"/>
  <c r="BG147" i="25" s="1"/>
  <c r="BG40" i="25"/>
  <c r="BG28" i="25" s="1"/>
  <c r="BA137" i="25"/>
  <c r="BA148" i="25" s="1"/>
  <c r="BA41" i="25"/>
  <c r="BA29" i="25" s="1"/>
  <c r="T258" i="25"/>
  <c r="T246" i="25"/>
  <c r="AS137" i="25"/>
  <c r="AS148" i="25" s="1"/>
  <c r="AS41" i="25"/>
  <c r="AS29" i="25" s="1"/>
  <c r="AH137" i="25"/>
  <c r="AH148" i="25" s="1"/>
  <c r="AH41" i="25"/>
  <c r="AH29" i="25" s="1"/>
  <c r="M220" i="25"/>
  <c r="L224" i="25"/>
  <c r="M42" i="25"/>
  <c r="M30" i="25" s="1"/>
  <c r="AM136" i="25"/>
  <c r="AM147" i="25" s="1"/>
  <c r="AM40" i="25"/>
  <c r="AM28" i="25" s="1"/>
  <c r="X257" i="25"/>
  <c r="X245" i="25"/>
  <c r="X244" i="25"/>
  <c r="X247" i="25" s="1"/>
  <c r="BD137" i="25"/>
  <c r="BD148" i="25" s="1"/>
  <c r="BD41" i="25"/>
  <c r="BD29" i="25" s="1"/>
  <c r="AK258" i="25"/>
  <c r="AK246" i="25"/>
  <c r="D47" i="25"/>
  <c r="D50" i="25"/>
  <c r="Y40" i="25"/>
  <c r="Y28" i="25" s="1"/>
  <c r="Y136" i="25"/>
  <c r="Y147" i="25" s="1"/>
  <c r="S136" i="25"/>
  <c r="S147" i="25" s="1"/>
  <c r="S40" i="25"/>
  <c r="S28" i="25" s="1"/>
  <c r="BH136" i="25"/>
  <c r="BH147" i="25" s="1"/>
  <c r="BH40" i="25"/>
  <c r="BH28" i="25" s="1"/>
  <c r="AU137" i="25"/>
  <c r="AU148" i="25" s="1"/>
  <c r="AU41" i="25"/>
  <c r="AU29" i="25" s="1"/>
  <c r="S137" i="25"/>
  <c r="S148" i="25" s="1"/>
  <c r="S41" i="25"/>
  <c r="S29" i="25" s="1"/>
  <c r="AR258" i="25"/>
  <c r="AR246" i="25"/>
  <c r="AT136" i="25"/>
  <c r="AT147" i="25" s="1"/>
  <c r="AT40" i="25"/>
  <c r="AT28" i="25" s="1"/>
  <c r="Q137" i="25"/>
  <c r="Q148" i="25" s="1"/>
  <c r="Q41" i="25"/>
  <c r="Q29" i="25" s="1"/>
  <c r="BF137" i="25"/>
  <c r="BF148" i="25" s="1"/>
  <c r="BF41" i="25"/>
  <c r="BF29" i="25" s="1"/>
  <c r="AL246" i="25"/>
  <c r="AL258" i="25"/>
  <c r="L47" i="25"/>
  <c r="L50" i="25"/>
  <c r="AV136" i="25"/>
  <c r="AV147" i="25" s="1"/>
  <c r="AV40" i="25"/>
  <c r="AV28" i="25" s="1"/>
  <c r="AN137" i="25"/>
  <c r="AN148" i="25" s="1"/>
  <c r="AN41" i="25"/>
  <c r="AN29" i="25" s="1"/>
  <c r="BJ40" i="25"/>
  <c r="BJ28" i="25" s="1"/>
  <c r="BJ136" i="25"/>
  <c r="BJ147" i="25" s="1"/>
  <c r="K205" i="25"/>
  <c r="K197" i="25" s="1"/>
  <c r="J204" i="25"/>
  <c r="K196" i="25"/>
  <c r="T136" i="25"/>
  <c r="T147" i="25" s="1"/>
  <c r="T40" i="25"/>
  <c r="T28" i="25" s="1"/>
  <c r="AL136" i="25"/>
  <c r="AL147" i="25" s="1"/>
  <c r="AL40" i="25"/>
  <c r="AL28" i="25" s="1"/>
  <c r="X137" i="25"/>
  <c r="X148" i="25" s="1"/>
  <c r="X41" i="25"/>
  <c r="X29" i="25" s="1"/>
  <c r="AA136" i="25"/>
  <c r="AA147" i="25" s="1"/>
  <c r="AA40" i="25"/>
  <c r="AA28" i="25" s="1"/>
  <c r="AA258" i="25"/>
  <c r="AA246" i="25"/>
  <c r="V258" i="25"/>
  <c r="V246" i="25"/>
  <c r="BH258" i="25"/>
  <c r="BH246" i="25"/>
  <c r="O136" i="25"/>
  <c r="O147" i="25" s="1"/>
  <c r="O40" i="25"/>
  <c r="O28" i="25" s="1"/>
  <c r="AJ137" i="25"/>
  <c r="AJ148" i="25" s="1"/>
  <c r="AJ41" i="25"/>
  <c r="AJ29" i="25" s="1"/>
  <c r="AS258" i="25"/>
  <c r="AS246" i="25"/>
  <c r="AH258" i="25"/>
  <c r="AH246" i="25"/>
  <c r="BK34" i="25"/>
  <c r="AA41" i="25"/>
  <c r="AA29" i="25" s="1"/>
  <c r="AA137" i="25"/>
  <c r="AA148" i="25" s="1"/>
  <c r="BB136" i="25"/>
  <c r="BB147" i="25" s="1"/>
  <c r="BB40" i="25"/>
  <c r="BB28" i="25" s="1"/>
  <c r="AM257" i="25"/>
  <c r="AM244" i="25"/>
  <c r="AM247" i="25" s="1"/>
  <c r="AM245" i="25"/>
  <c r="AN136" i="25"/>
  <c r="AN147" i="25" s="1"/>
  <c r="AN40" i="25"/>
  <c r="AN28" i="25" s="1"/>
  <c r="F50" i="25"/>
  <c r="F47" i="25"/>
  <c r="BD258" i="25"/>
  <c r="BD246" i="25"/>
  <c r="BA136" i="25"/>
  <c r="BA147" i="25" s="1"/>
  <c r="BA40" i="25"/>
  <c r="BA28" i="25" s="1"/>
  <c r="Y257" i="25"/>
  <c r="Y245" i="25"/>
  <c r="Y244" i="25"/>
  <c r="Y247" i="25" s="1"/>
  <c r="AX136" i="25"/>
  <c r="AX147" i="25" s="1"/>
  <c r="AX40" i="25"/>
  <c r="AX28" i="25" s="1"/>
  <c r="S257" i="25"/>
  <c r="S244" i="25"/>
  <c r="S247" i="25" s="1"/>
  <c r="S245" i="25"/>
  <c r="BH244" i="25"/>
  <c r="BH247" i="25" s="1"/>
  <c r="BH257" i="25"/>
  <c r="BH245" i="25"/>
  <c r="V137" i="25"/>
  <c r="V148" i="25" s="1"/>
  <c r="V41" i="25"/>
  <c r="V29" i="25" s="1"/>
  <c r="AU258" i="25"/>
  <c r="AU246" i="25"/>
  <c r="AW137" i="25"/>
  <c r="AW148" i="25" s="1"/>
  <c r="AW41" i="25"/>
  <c r="AW29" i="25" s="1"/>
  <c r="W137" i="25"/>
  <c r="W148" i="25" s="1"/>
  <c r="W41" i="25"/>
  <c r="W29" i="25" s="1"/>
  <c r="S258" i="25"/>
  <c r="S246" i="25"/>
  <c r="BH137" i="25"/>
  <c r="BH148" i="25" s="1"/>
  <c r="BH41" i="25"/>
  <c r="BH29" i="25" s="1"/>
  <c r="AT245" i="25"/>
  <c r="AT244" i="25"/>
  <c r="AT247" i="25" s="1"/>
  <c r="AT257" i="25"/>
  <c r="Q258" i="25"/>
  <c r="Q246" i="25"/>
  <c r="BF258" i="25"/>
  <c r="BF246" i="25"/>
  <c r="AV257" i="25"/>
  <c r="AV244" i="25"/>
  <c r="AV247" i="25" s="1"/>
  <c r="AV245" i="25"/>
  <c r="AN258" i="25"/>
  <c r="AN246" i="25"/>
  <c r="AI137" i="25"/>
  <c r="AI148" i="25" s="1"/>
  <c r="AI41" i="25"/>
  <c r="AI29" i="25" s="1"/>
  <c r="BJ245" i="25"/>
  <c r="BJ244" i="25"/>
  <c r="BJ247" i="25" s="1"/>
  <c r="BJ257" i="25"/>
  <c r="T257" i="25"/>
  <c r="T244" i="25"/>
  <c r="T247" i="25" s="1"/>
  <c r="T245" i="25"/>
  <c r="AL245" i="25"/>
  <c r="AL244" i="25"/>
  <c r="AL247" i="25" s="1"/>
  <c r="AL257" i="25"/>
  <c r="X258" i="25"/>
  <c r="X246" i="25"/>
  <c r="J4" i="33" l="1"/>
  <c r="J3" i="30"/>
  <c r="K7" i="30"/>
  <c r="BO3" i="33"/>
  <c r="BO2" i="30"/>
  <c r="BP3" i="33"/>
  <c r="BP2" i="30"/>
  <c r="I42" i="27"/>
  <c r="L8" i="33" s="1"/>
  <c r="K6" i="33"/>
  <c r="K5" i="33"/>
  <c r="K7" i="33"/>
  <c r="K6" i="30"/>
  <c r="K4" i="30"/>
  <c r="K5" i="30"/>
  <c r="K9" i="33"/>
  <c r="K8" i="30"/>
  <c r="I217" i="25"/>
  <c r="J34" i="25"/>
  <c r="J50" i="27"/>
  <c r="I48" i="27"/>
  <c r="I40" i="27" s="1"/>
  <c r="J59" i="27"/>
  <c r="I60" i="27"/>
  <c r="I49" i="27" s="1"/>
  <c r="I41" i="27" s="1"/>
  <c r="F52" i="27"/>
  <c r="F44" i="27" s="1"/>
  <c r="E52" i="27"/>
  <c r="E44" i="27" s="1"/>
  <c r="L191" i="25"/>
  <c r="M137" i="25"/>
  <c r="M148" i="25" s="1"/>
  <c r="M41" i="25"/>
  <c r="M29" i="25" s="1"/>
  <c r="L202" i="25"/>
  <c r="M138" i="25"/>
  <c r="M149" i="25" s="1"/>
  <c r="AT253" i="25"/>
  <c r="AT252" i="25"/>
  <c r="AT46" i="25"/>
  <c r="AT48" i="25" s="1"/>
  <c r="AT26" i="25" s="1"/>
  <c r="AT255" i="25" s="1"/>
  <c r="O253" i="25"/>
  <c r="O252" i="25"/>
  <c r="O46" i="25"/>
  <c r="O48" i="25" s="1"/>
  <c r="O26" i="25" s="1"/>
  <c r="O255" i="25" s="1"/>
  <c r="S252" i="25"/>
  <c r="S253" i="25"/>
  <c r="S46" i="25"/>
  <c r="S48" i="25" s="1"/>
  <c r="S26" i="25" s="1"/>
  <c r="S255" i="25" s="1"/>
  <c r="F51" i="25"/>
  <c r="F25" i="25"/>
  <c r="BC253" i="25"/>
  <c r="BC252" i="25"/>
  <c r="AU251" i="25"/>
  <c r="AU261" i="25"/>
  <c r="AU250" i="25"/>
  <c r="AU45" i="25"/>
  <c r="R261" i="25"/>
  <c r="R250" i="25"/>
  <c r="R251" i="25"/>
  <c r="R45" i="25"/>
  <c r="AB252" i="25"/>
  <c r="AB253" i="25"/>
  <c r="AB46" i="25"/>
  <c r="AB48" i="25" s="1"/>
  <c r="AB26" i="25" s="1"/>
  <c r="AB255" i="25" s="1"/>
  <c r="W253" i="25"/>
  <c r="W252" i="25"/>
  <c r="W46" i="25"/>
  <c r="W48" i="25" s="1"/>
  <c r="W26" i="25" s="1"/>
  <c r="W255" i="25" s="1"/>
  <c r="K235" i="25"/>
  <c r="L43" i="25"/>
  <c r="L31" i="25" s="1"/>
  <c r="L233" i="25"/>
  <c r="AD250" i="25"/>
  <c r="AD261" i="25"/>
  <c r="AD251" i="25"/>
  <c r="AD45" i="25"/>
  <c r="H51" i="25"/>
  <c r="H25" i="25"/>
  <c r="BD261" i="25"/>
  <c r="BD251" i="25"/>
  <c r="BD250" i="25"/>
  <c r="AI251" i="25"/>
  <c r="AI261" i="25"/>
  <c r="AI250" i="25"/>
  <c r="AI45" i="25"/>
  <c r="AX252" i="25"/>
  <c r="AX253" i="25"/>
  <c r="AX46" i="25"/>
  <c r="AX48" i="25" s="1"/>
  <c r="AX26" i="25" s="1"/>
  <c r="AX255" i="25" s="1"/>
  <c r="BF253" i="25"/>
  <c r="BF252" i="25"/>
  <c r="AS253" i="25"/>
  <c r="AS252" i="25"/>
  <c r="AS46" i="25"/>
  <c r="AS48" i="25" s="1"/>
  <c r="AS26" i="25" s="1"/>
  <c r="AS255" i="25" s="1"/>
  <c r="Q253" i="25"/>
  <c r="Q252" i="25"/>
  <c r="Q46" i="25"/>
  <c r="Q48" i="25" s="1"/>
  <c r="Q26" i="25" s="1"/>
  <c r="Q255" i="25" s="1"/>
  <c r="AA253" i="25"/>
  <c r="AA252" i="25"/>
  <c r="AA46" i="25"/>
  <c r="AA48" i="25" s="1"/>
  <c r="AA26" i="25" s="1"/>
  <c r="AA255" i="25" s="1"/>
  <c r="AS261" i="25"/>
  <c r="AS251" i="25"/>
  <c r="AS250" i="25"/>
  <c r="AS45" i="25"/>
  <c r="W251" i="25"/>
  <c r="W261" i="25"/>
  <c r="W250" i="25"/>
  <c r="W45" i="25"/>
  <c r="AD252" i="25"/>
  <c r="AD253" i="25"/>
  <c r="AD46" i="25"/>
  <c r="AD48" i="25" s="1"/>
  <c r="AD26" i="25" s="1"/>
  <c r="AD255" i="25" s="1"/>
  <c r="AO253" i="25"/>
  <c r="AO252" i="25"/>
  <c r="AO46" i="25"/>
  <c r="AO48" i="25" s="1"/>
  <c r="AO26" i="25" s="1"/>
  <c r="AO255" i="25" s="1"/>
  <c r="G25" i="25"/>
  <c r="G51" i="25"/>
  <c r="AZ252" i="25"/>
  <c r="AZ253" i="25"/>
  <c r="AZ46" i="25"/>
  <c r="AZ48" i="25" s="1"/>
  <c r="AZ26" i="25" s="1"/>
  <c r="AZ255" i="25" s="1"/>
  <c r="K215" i="25"/>
  <c r="L141" i="25"/>
  <c r="L152" i="25" s="1"/>
  <c r="AY251" i="25"/>
  <c r="AY261" i="25"/>
  <c r="AY250" i="25"/>
  <c r="AY45" i="25"/>
  <c r="AG253" i="25"/>
  <c r="AG252" i="25"/>
  <c r="AG46" i="25"/>
  <c r="AG48" i="25" s="1"/>
  <c r="AG26" i="25" s="1"/>
  <c r="AG255" i="25" s="1"/>
  <c r="BG251" i="25"/>
  <c r="BG250" i="25"/>
  <c r="BG261" i="25"/>
  <c r="AQ251" i="25"/>
  <c r="AQ250" i="25"/>
  <c r="AQ261" i="25"/>
  <c r="AQ45" i="25"/>
  <c r="K214" i="25"/>
  <c r="L140" i="25"/>
  <c r="L151" i="25" s="1"/>
  <c r="V253" i="25"/>
  <c r="V252" i="25"/>
  <c r="V46" i="25"/>
  <c r="V48" i="25" s="1"/>
  <c r="V26" i="25" s="1"/>
  <c r="V255" i="25" s="1"/>
  <c r="AG261" i="25"/>
  <c r="AG251" i="25"/>
  <c r="AG250" i="25"/>
  <c r="AG45" i="25"/>
  <c r="I51" i="25"/>
  <c r="I25" i="25"/>
  <c r="AN252" i="25"/>
  <c r="AN253" i="25"/>
  <c r="AN46" i="25"/>
  <c r="AN48" i="25" s="1"/>
  <c r="AN26" i="25" s="1"/>
  <c r="AN255" i="25" s="1"/>
  <c r="AT250" i="25"/>
  <c r="AT251" i="25"/>
  <c r="AT261" i="25"/>
  <c r="AT45" i="25"/>
  <c r="BH251" i="25"/>
  <c r="BH250" i="25"/>
  <c r="BH261" i="25"/>
  <c r="K200" i="25"/>
  <c r="K198" i="25"/>
  <c r="K199" i="25" s="1"/>
  <c r="X261" i="25"/>
  <c r="X251" i="25"/>
  <c r="X250" i="25"/>
  <c r="X45" i="25"/>
  <c r="U253" i="25"/>
  <c r="U252" i="25"/>
  <c r="U46" i="25"/>
  <c r="U48" i="25" s="1"/>
  <c r="U26" i="25" s="1"/>
  <c r="U255" i="25" s="1"/>
  <c r="BI253" i="25"/>
  <c r="BI252" i="25"/>
  <c r="BE261" i="25"/>
  <c r="BE251" i="25"/>
  <c r="BE250" i="25"/>
  <c r="V250" i="25"/>
  <c r="V261" i="25"/>
  <c r="V251" i="25"/>
  <c r="V45" i="25"/>
  <c r="BG252" i="25"/>
  <c r="BG253" i="25"/>
  <c r="AC261" i="25"/>
  <c r="AC250" i="25"/>
  <c r="AC251" i="25"/>
  <c r="AC45" i="25"/>
  <c r="BB253" i="25"/>
  <c r="BB252" i="25"/>
  <c r="BB46" i="25"/>
  <c r="BB48" i="25" s="1"/>
  <c r="BB26" i="25" s="1"/>
  <c r="BB255" i="25" s="1"/>
  <c r="AW261" i="25"/>
  <c r="AW251" i="25"/>
  <c r="AW250" i="25"/>
  <c r="AW45" i="25"/>
  <c r="Y253" i="25"/>
  <c r="Y252" i="25"/>
  <c r="Y46" i="25"/>
  <c r="Y48" i="25" s="1"/>
  <c r="Y26" i="25" s="1"/>
  <c r="Y255" i="25" s="1"/>
  <c r="AQ253" i="25"/>
  <c r="AQ252" i="25"/>
  <c r="AQ46" i="25"/>
  <c r="AQ48" i="25" s="1"/>
  <c r="AQ26" i="25" s="1"/>
  <c r="AQ255" i="25" s="1"/>
  <c r="T250" i="25"/>
  <c r="T261" i="25"/>
  <c r="T251" i="25"/>
  <c r="T45" i="25"/>
  <c r="Y261" i="25"/>
  <c r="Y251" i="25"/>
  <c r="Y250" i="25"/>
  <c r="Y45" i="25"/>
  <c r="D51" i="25"/>
  <c r="D25" i="25"/>
  <c r="AP252" i="25"/>
  <c r="AP253" i="25"/>
  <c r="AP46" i="25"/>
  <c r="AP48" i="25" s="1"/>
  <c r="AP26" i="25" s="1"/>
  <c r="AP255" i="25" s="1"/>
  <c r="BF261" i="25"/>
  <c r="BF250" i="25"/>
  <c r="BF251" i="25"/>
  <c r="R252" i="25"/>
  <c r="R253" i="25"/>
  <c r="R46" i="25"/>
  <c r="R48" i="25" s="1"/>
  <c r="R26" i="25" s="1"/>
  <c r="R255" i="25" s="1"/>
  <c r="AM252" i="25"/>
  <c r="AM253" i="25"/>
  <c r="AM46" i="25"/>
  <c r="AM48" i="25" s="1"/>
  <c r="AM26" i="25" s="1"/>
  <c r="AM255" i="25" s="1"/>
  <c r="P251" i="25"/>
  <c r="P250" i="25"/>
  <c r="P261" i="25"/>
  <c r="P45" i="25"/>
  <c r="AP261" i="25"/>
  <c r="AP250" i="25"/>
  <c r="AP251" i="25"/>
  <c r="AP45" i="25"/>
  <c r="M51" i="25"/>
  <c r="M25" i="25"/>
  <c r="E51" i="25"/>
  <c r="E25" i="25"/>
  <c r="I193" i="25"/>
  <c r="J185" i="25"/>
  <c r="AO261" i="25"/>
  <c r="AO250" i="25"/>
  <c r="AO251" i="25"/>
  <c r="AO45" i="25"/>
  <c r="AA251" i="25"/>
  <c r="AA261" i="25"/>
  <c r="AA250" i="25"/>
  <c r="AA45" i="25"/>
  <c r="K203" i="25"/>
  <c r="L139" i="25"/>
  <c r="L150" i="25" s="1"/>
  <c r="AR252" i="25"/>
  <c r="AR253" i="25"/>
  <c r="AR46" i="25"/>
  <c r="AR48" i="25" s="1"/>
  <c r="AR26" i="25" s="1"/>
  <c r="AR255" i="25" s="1"/>
  <c r="AE252" i="25"/>
  <c r="AE253" i="25"/>
  <c r="AE46" i="25"/>
  <c r="AE48" i="25" s="1"/>
  <c r="AE26" i="25" s="1"/>
  <c r="AE255" i="25" s="1"/>
  <c r="AI253" i="25"/>
  <c r="AI252" i="25"/>
  <c r="AI46" i="25"/>
  <c r="AI48" i="25" s="1"/>
  <c r="AI26" i="25" s="1"/>
  <c r="AI255" i="25" s="1"/>
  <c r="BE253" i="25"/>
  <c r="BE252" i="25"/>
  <c r="BJ250" i="25"/>
  <c r="BJ261" i="25"/>
  <c r="BJ251" i="25"/>
  <c r="J205" i="25"/>
  <c r="J197" i="25" s="1"/>
  <c r="J196" i="25"/>
  <c r="I204" i="25"/>
  <c r="AH261" i="25"/>
  <c r="AH250" i="25"/>
  <c r="AH251" i="25"/>
  <c r="AH45" i="25"/>
  <c r="AX261" i="25"/>
  <c r="AX250" i="25"/>
  <c r="AX251" i="25"/>
  <c r="AX45" i="25"/>
  <c r="U261" i="25"/>
  <c r="U250" i="25"/>
  <c r="U251" i="25"/>
  <c r="U45" i="25"/>
  <c r="Z253" i="25"/>
  <c r="Z252" i="25"/>
  <c r="Z46" i="25"/>
  <c r="Z48" i="25" s="1"/>
  <c r="Z26" i="25" s="1"/>
  <c r="Z255" i="25" s="1"/>
  <c r="AK261" i="25"/>
  <c r="AK251" i="25"/>
  <c r="AK250" i="25"/>
  <c r="AK45" i="25"/>
  <c r="AY252" i="25"/>
  <c r="AY253" i="25"/>
  <c r="AY46" i="25"/>
  <c r="AY48" i="25" s="1"/>
  <c r="AY26" i="25" s="1"/>
  <c r="AY255" i="25" s="1"/>
  <c r="BJ252" i="25"/>
  <c r="BJ253" i="25"/>
  <c r="Z261" i="25"/>
  <c r="Z250" i="25"/>
  <c r="Z251" i="25"/>
  <c r="Z45" i="25"/>
  <c r="N253" i="25"/>
  <c r="N252" i="25"/>
  <c r="N46" i="25"/>
  <c r="N48" i="25" s="1"/>
  <c r="N26" i="25" s="1"/>
  <c r="N255" i="25" s="1"/>
  <c r="X252" i="25"/>
  <c r="X253" i="25"/>
  <c r="X46" i="25"/>
  <c r="X48" i="25" s="1"/>
  <c r="X26" i="25" s="1"/>
  <c r="X255" i="25" s="1"/>
  <c r="AV251" i="25"/>
  <c r="AV261" i="25"/>
  <c r="AV250" i="25"/>
  <c r="AV45" i="25"/>
  <c r="AH253" i="25"/>
  <c r="AH252" i="25"/>
  <c r="AH46" i="25"/>
  <c r="AH48" i="25" s="1"/>
  <c r="AH26" i="25" s="1"/>
  <c r="AH255" i="25" s="1"/>
  <c r="BH252" i="25"/>
  <c r="BH253" i="25"/>
  <c r="K201" i="25"/>
  <c r="L51" i="25"/>
  <c r="L25" i="25"/>
  <c r="AK253" i="25"/>
  <c r="AK252" i="25"/>
  <c r="AK46" i="25"/>
  <c r="AK48" i="25" s="1"/>
  <c r="AK26" i="25" s="1"/>
  <c r="AK255" i="25" s="1"/>
  <c r="T252" i="25"/>
  <c r="T253" i="25"/>
  <c r="T46" i="25"/>
  <c r="T48" i="25" s="1"/>
  <c r="T26" i="25" s="1"/>
  <c r="T255" i="25" s="1"/>
  <c r="AF250" i="25"/>
  <c r="AF261" i="25"/>
  <c r="AF251" i="25"/>
  <c r="AF45" i="25"/>
  <c r="AR250" i="25"/>
  <c r="AR261" i="25"/>
  <c r="AR251" i="25"/>
  <c r="AR45" i="25"/>
  <c r="BI261" i="25"/>
  <c r="BI250" i="25"/>
  <c r="BI251" i="25"/>
  <c r="AW253" i="25"/>
  <c r="AW252" i="25"/>
  <c r="AW46" i="25"/>
  <c r="AW48" i="25" s="1"/>
  <c r="AW26" i="25" s="1"/>
  <c r="AW255" i="25" s="1"/>
  <c r="K51" i="25"/>
  <c r="K25" i="25"/>
  <c r="AF252" i="25"/>
  <c r="AF253" i="25"/>
  <c r="AF46" i="25"/>
  <c r="AF48" i="25" s="1"/>
  <c r="AF26" i="25" s="1"/>
  <c r="AF255" i="25" s="1"/>
  <c r="AB261" i="25"/>
  <c r="AB251" i="25"/>
  <c r="AB250" i="25"/>
  <c r="AB45" i="25"/>
  <c r="Q261" i="25"/>
  <c r="Q250" i="25"/>
  <c r="Q251" i="25"/>
  <c r="Q45" i="25"/>
  <c r="BA253" i="25"/>
  <c r="BA252" i="25"/>
  <c r="BA46" i="25"/>
  <c r="BA48" i="25" s="1"/>
  <c r="BA26" i="25" s="1"/>
  <c r="BA255" i="25" s="1"/>
  <c r="AC253" i="25"/>
  <c r="AC252" i="25"/>
  <c r="AC46" i="25"/>
  <c r="AC48" i="25" s="1"/>
  <c r="AC26" i="25" s="1"/>
  <c r="AC255" i="25" s="1"/>
  <c r="O251" i="25"/>
  <c r="O261" i="25"/>
  <c r="O250" i="25"/>
  <c r="O45" i="25"/>
  <c r="L190" i="25"/>
  <c r="M136" i="25"/>
  <c r="M147" i="25" s="1"/>
  <c r="J51" i="25"/>
  <c r="J25" i="25"/>
  <c r="M230" i="25"/>
  <c r="M192" i="25" s="1"/>
  <c r="M184" i="25" s="1"/>
  <c r="M40" i="25" s="1"/>
  <c r="M28" i="25" s="1"/>
  <c r="M32" i="25"/>
  <c r="M33" i="25" s="1"/>
  <c r="M208" i="25"/>
  <c r="M216" i="25" s="1"/>
  <c r="BD252" i="25"/>
  <c r="BD253" i="25"/>
  <c r="M225" i="25"/>
  <c r="M176" i="25"/>
  <c r="M177" i="25" s="1"/>
  <c r="M178" i="25" s="1"/>
  <c r="M179" i="25" s="1"/>
  <c r="N62" i="27" s="1"/>
  <c r="N51" i="27" s="1"/>
  <c r="N43" i="27" s="1"/>
  <c r="BB250" i="25"/>
  <c r="BB261" i="25"/>
  <c r="BB251" i="25"/>
  <c r="BB45" i="25"/>
  <c r="AJ252" i="25"/>
  <c r="AJ253" i="25"/>
  <c r="AJ46" i="25"/>
  <c r="AJ48" i="25" s="1"/>
  <c r="AJ26" i="25" s="1"/>
  <c r="AJ255" i="25" s="1"/>
  <c r="AL250" i="25"/>
  <c r="AL261" i="25"/>
  <c r="AL251" i="25"/>
  <c r="AL45" i="25"/>
  <c r="AU253" i="25"/>
  <c r="AU252" i="25"/>
  <c r="AU46" i="25"/>
  <c r="AU48" i="25" s="1"/>
  <c r="AU26" i="25" s="1"/>
  <c r="AU255" i="25" s="1"/>
  <c r="S251" i="25"/>
  <c r="S261" i="25"/>
  <c r="S250" i="25"/>
  <c r="S45" i="25"/>
  <c r="AM251" i="25"/>
  <c r="AM261" i="25"/>
  <c r="AM250" i="25"/>
  <c r="AM45" i="25"/>
  <c r="AL252" i="25"/>
  <c r="AL253" i="25"/>
  <c r="AL46" i="25"/>
  <c r="AL48" i="25" s="1"/>
  <c r="AL26" i="25" s="1"/>
  <c r="AL255" i="25" s="1"/>
  <c r="L220" i="25"/>
  <c r="K224" i="25"/>
  <c r="L42" i="25"/>
  <c r="L30" i="25" s="1"/>
  <c r="AN250" i="25"/>
  <c r="AN251" i="25"/>
  <c r="AN261" i="25"/>
  <c r="AN45" i="25"/>
  <c r="AV252" i="25"/>
  <c r="AV253" i="25"/>
  <c r="AV46" i="25"/>
  <c r="AV48" i="25" s="1"/>
  <c r="AV26" i="25" s="1"/>
  <c r="AV255" i="25" s="1"/>
  <c r="AZ261" i="25"/>
  <c r="AZ250" i="25"/>
  <c r="AZ251" i="25"/>
  <c r="AZ45" i="25"/>
  <c r="M236" i="25"/>
  <c r="M36" i="25"/>
  <c r="M35" i="25" s="1"/>
  <c r="AE251" i="25"/>
  <c r="AE250" i="25"/>
  <c r="AE261" i="25"/>
  <c r="AE45" i="25"/>
  <c r="N250" i="25"/>
  <c r="N261" i="25"/>
  <c r="N251" i="25"/>
  <c r="N45" i="25"/>
  <c r="AJ251" i="25"/>
  <c r="AJ261" i="25"/>
  <c r="AJ250" i="25"/>
  <c r="AJ45" i="25"/>
  <c r="P252" i="25"/>
  <c r="P253" i="25"/>
  <c r="P46" i="25"/>
  <c r="P48" i="25" s="1"/>
  <c r="P26" i="25" s="1"/>
  <c r="P255" i="25" s="1"/>
  <c r="BA261" i="25"/>
  <c r="BA250" i="25"/>
  <c r="BA251" i="25"/>
  <c r="BA45" i="25"/>
  <c r="BC261" i="25"/>
  <c r="BC251" i="25"/>
  <c r="BC250" i="25"/>
  <c r="K229" i="25"/>
  <c r="L227" i="25"/>
  <c r="L39" i="25"/>
  <c r="L27" i="25" s="1"/>
  <c r="J42" i="27" l="1"/>
  <c r="M8" i="33" s="1"/>
  <c r="H217" i="25"/>
  <c r="I34" i="25"/>
  <c r="L7" i="30"/>
  <c r="H4" i="33"/>
  <c r="H3" i="30"/>
  <c r="Q3" i="33"/>
  <c r="Q2" i="30"/>
  <c r="I4" i="33"/>
  <c r="I3" i="30"/>
  <c r="L9" i="33"/>
  <c r="L8" i="30"/>
  <c r="L5" i="33"/>
  <c r="L7" i="33"/>
  <c r="L6" i="33"/>
  <c r="L4" i="30"/>
  <c r="L5" i="30"/>
  <c r="L6" i="30"/>
  <c r="J60" i="27"/>
  <c r="J49" i="27" s="1"/>
  <c r="J41" i="27" s="1"/>
  <c r="K59" i="27"/>
  <c r="J48" i="27"/>
  <c r="J40" i="27" s="1"/>
  <c r="K50" i="27"/>
  <c r="K254" i="25"/>
  <c r="K256" i="25" s="1"/>
  <c r="K37" i="25"/>
  <c r="T47" i="25"/>
  <c r="T50" i="25"/>
  <c r="V50" i="25"/>
  <c r="V47" i="25"/>
  <c r="F254" i="25"/>
  <c r="F256" i="25" s="1"/>
  <c r="F37" i="25"/>
  <c r="AM47" i="25"/>
  <c r="AM50" i="25"/>
  <c r="AB47" i="25"/>
  <c r="AB50" i="25"/>
  <c r="AK47" i="25"/>
  <c r="AK50" i="25"/>
  <c r="H193" i="25"/>
  <c r="I185" i="25"/>
  <c r="AY50" i="25"/>
  <c r="AY47" i="25"/>
  <c r="AD50" i="25"/>
  <c r="AD47" i="25"/>
  <c r="AZ47" i="25"/>
  <c r="AZ50" i="25"/>
  <c r="AJ47" i="25"/>
  <c r="AJ50" i="25"/>
  <c r="AE47" i="25"/>
  <c r="AE50" i="25"/>
  <c r="K190" i="25"/>
  <c r="L136" i="25"/>
  <c r="L147" i="25" s="1"/>
  <c r="E254" i="25"/>
  <c r="E256" i="25" s="1"/>
  <c r="E37" i="25"/>
  <c r="P47" i="25"/>
  <c r="P50" i="25"/>
  <c r="D254" i="25"/>
  <c r="D256" i="25" s="1"/>
  <c r="D37" i="25"/>
  <c r="AW47" i="25"/>
  <c r="AW50" i="25"/>
  <c r="AC47" i="25"/>
  <c r="AC50" i="25"/>
  <c r="W47" i="25"/>
  <c r="W50" i="25"/>
  <c r="AU47" i="25"/>
  <c r="AU50" i="25"/>
  <c r="BA47" i="25"/>
  <c r="BA50" i="25"/>
  <c r="BB50" i="25"/>
  <c r="BB47" i="25"/>
  <c r="O47" i="25"/>
  <c r="O50" i="25"/>
  <c r="G254" i="25"/>
  <c r="G256" i="25" s="1"/>
  <c r="G37" i="25"/>
  <c r="J224" i="25"/>
  <c r="K220" i="25"/>
  <c r="K42" i="25"/>
  <c r="K30" i="25" s="1"/>
  <c r="AL50" i="25"/>
  <c r="AL47" i="25"/>
  <c r="AF50" i="25"/>
  <c r="AF47" i="25"/>
  <c r="AX47" i="25"/>
  <c r="AX50" i="25"/>
  <c r="I205" i="25"/>
  <c r="I197" i="25" s="1"/>
  <c r="H204" i="25"/>
  <c r="I196" i="25"/>
  <c r="AO47" i="25"/>
  <c r="AO50" i="25"/>
  <c r="M254" i="25"/>
  <c r="M256" i="25" s="1"/>
  <c r="M37" i="25"/>
  <c r="Y47" i="25"/>
  <c r="Y50" i="25"/>
  <c r="X47" i="25"/>
  <c r="X50" i="25"/>
  <c r="I254" i="25"/>
  <c r="I256" i="25" s="1"/>
  <c r="I37" i="25"/>
  <c r="K202" i="25"/>
  <c r="L138" i="25"/>
  <c r="L149" i="25" s="1"/>
  <c r="AA50" i="25"/>
  <c r="AA47" i="25"/>
  <c r="L225" i="25"/>
  <c r="L176" i="25"/>
  <c r="L177" i="25" s="1"/>
  <c r="L178" i="25" s="1"/>
  <c r="L179" i="25" s="1"/>
  <c r="M62" i="27" s="1"/>
  <c r="M51" i="27" s="1"/>
  <c r="M43" i="27" s="1"/>
  <c r="S50" i="25"/>
  <c r="S47" i="25"/>
  <c r="M188" i="25"/>
  <c r="M186" i="25"/>
  <c r="M187" i="25" s="1"/>
  <c r="M189" i="25"/>
  <c r="Q47" i="25"/>
  <c r="Q50" i="25"/>
  <c r="J200" i="25"/>
  <c r="J198" i="25"/>
  <c r="J199" i="25" s="1"/>
  <c r="AT50" i="25"/>
  <c r="AT47" i="25"/>
  <c r="L236" i="25"/>
  <c r="L36" i="25"/>
  <c r="L35" i="25" s="1"/>
  <c r="AR47" i="25"/>
  <c r="AR50" i="25"/>
  <c r="Z47" i="25"/>
  <c r="Z50" i="25"/>
  <c r="AH47" i="25"/>
  <c r="AH50" i="25"/>
  <c r="AI50" i="25"/>
  <c r="AI47" i="25"/>
  <c r="L230" i="25"/>
  <c r="L192" i="25" s="1"/>
  <c r="L184" i="25" s="1"/>
  <c r="L32" i="25"/>
  <c r="L33" i="25" s="1"/>
  <c r="L208" i="25"/>
  <c r="L216" i="25" s="1"/>
  <c r="N50" i="25"/>
  <c r="N47" i="25"/>
  <c r="J254" i="25"/>
  <c r="J256" i="25" s="1"/>
  <c r="J37" i="25"/>
  <c r="L254" i="25"/>
  <c r="L256" i="25" s="1"/>
  <c r="L37" i="25"/>
  <c r="AV47" i="25"/>
  <c r="AV50" i="25"/>
  <c r="AP47" i="25"/>
  <c r="AP50" i="25"/>
  <c r="AG47" i="25"/>
  <c r="AG50" i="25"/>
  <c r="J214" i="25"/>
  <c r="K140" i="25"/>
  <c r="K151" i="25" s="1"/>
  <c r="J215" i="25"/>
  <c r="K141" i="25"/>
  <c r="K152" i="25" s="1"/>
  <c r="AS47" i="25"/>
  <c r="AS50" i="25"/>
  <c r="R47" i="25"/>
  <c r="R50" i="25"/>
  <c r="U47" i="25"/>
  <c r="U50" i="25"/>
  <c r="K227" i="25"/>
  <c r="J229" i="25"/>
  <c r="K39" i="25"/>
  <c r="K27" i="25" s="1"/>
  <c r="M218" i="25"/>
  <c r="AN50" i="25"/>
  <c r="AN47" i="25"/>
  <c r="J201" i="25"/>
  <c r="J203" i="25"/>
  <c r="K139" i="25"/>
  <c r="K150" i="25" s="1"/>
  <c r="AQ50" i="25"/>
  <c r="AQ47" i="25"/>
  <c r="H254" i="25"/>
  <c r="H256" i="25" s="1"/>
  <c r="H37" i="25"/>
  <c r="J235" i="25"/>
  <c r="K43" i="25"/>
  <c r="K31" i="25" s="1"/>
  <c r="K233" i="25"/>
  <c r="K191" i="25"/>
  <c r="L137" i="25"/>
  <c r="L148" i="25" s="1"/>
  <c r="L41" i="25"/>
  <c r="L29" i="25" s="1"/>
  <c r="M9" i="33" l="1"/>
  <c r="M8" i="30"/>
  <c r="K42" i="27"/>
  <c r="N8" i="33" s="1"/>
  <c r="G217" i="25"/>
  <c r="H34" i="25"/>
  <c r="M7" i="33"/>
  <c r="M6" i="33"/>
  <c r="M5" i="33"/>
  <c r="M5" i="30"/>
  <c r="M6" i="30"/>
  <c r="M4" i="30"/>
  <c r="P3" i="33"/>
  <c r="P2" i="30"/>
  <c r="M7" i="30"/>
  <c r="L50" i="27"/>
  <c r="L59" i="27"/>
  <c r="K48" i="27"/>
  <c r="K40" i="27" s="1"/>
  <c r="K60" i="27"/>
  <c r="K49" i="27" s="1"/>
  <c r="K41" i="27" s="1"/>
  <c r="X51" i="25"/>
  <c r="X25" i="25"/>
  <c r="K236" i="25"/>
  <c r="K36" i="25"/>
  <c r="K35" i="25" s="1"/>
  <c r="I203" i="25"/>
  <c r="J139" i="25"/>
  <c r="J150" i="25" s="1"/>
  <c r="L186" i="25"/>
  <c r="L187" i="25" s="1"/>
  <c r="L188" i="25"/>
  <c r="L189" i="25"/>
  <c r="AR51" i="25"/>
  <c r="AR25" i="25"/>
  <c r="Q51" i="25"/>
  <c r="Q25" i="25"/>
  <c r="AA51" i="25"/>
  <c r="AA25" i="25"/>
  <c r="H205" i="25"/>
  <c r="H197" i="25" s="1"/>
  <c r="G204" i="25"/>
  <c r="H196" i="25"/>
  <c r="AJ51" i="25"/>
  <c r="AJ25" i="25"/>
  <c r="G193" i="25"/>
  <c r="H185" i="25"/>
  <c r="I215" i="25"/>
  <c r="J141" i="25"/>
  <c r="J152" i="25" s="1"/>
  <c r="U51" i="25"/>
  <c r="U25" i="25"/>
  <c r="I214" i="25"/>
  <c r="J140" i="25"/>
  <c r="J151" i="25" s="1"/>
  <c r="AI51" i="25"/>
  <c r="AI25" i="25"/>
  <c r="Y51" i="25"/>
  <c r="Y25" i="25"/>
  <c r="I201" i="25"/>
  <c r="K225" i="25"/>
  <c r="K176" i="25"/>
  <c r="K177" i="25" s="1"/>
  <c r="K178" i="25" s="1"/>
  <c r="K179" i="25" s="1"/>
  <c r="L62" i="27" s="1"/>
  <c r="L51" i="27" s="1"/>
  <c r="L43" i="27" s="1"/>
  <c r="AC51" i="25"/>
  <c r="AC25" i="25"/>
  <c r="V51" i="25"/>
  <c r="V25" i="25"/>
  <c r="AV51" i="25"/>
  <c r="AV25" i="25"/>
  <c r="I235" i="25"/>
  <c r="J43" i="25"/>
  <c r="J31" i="25" s="1"/>
  <c r="J233" i="25"/>
  <c r="AN51" i="25"/>
  <c r="AN25" i="25"/>
  <c r="L218" i="25"/>
  <c r="I224" i="25"/>
  <c r="J220" i="25"/>
  <c r="J42" i="25"/>
  <c r="J30" i="25" s="1"/>
  <c r="BA51" i="25"/>
  <c r="BA25" i="25"/>
  <c r="L40" i="25"/>
  <c r="L28" i="25" s="1"/>
  <c r="AZ51" i="25"/>
  <c r="AZ25" i="25"/>
  <c r="AK25" i="25"/>
  <c r="AK51" i="25"/>
  <c r="P51" i="25"/>
  <c r="P25" i="25"/>
  <c r="R51" i="25"/>
  <c r="R25" i="25"/>
  <c r="AG51" i="25"/>
  <c r="AG25" i="25"/>
  <c r="AT51" i="25"/>
  <c r="AT25" i="25"/>
  <c r="J202" i="25"/>
  <c r="K138" i="25"/>
  <c r="K149" i="25" s="1"/>
  <c r="AX51" i="25"/>
  <c r="AX25" i="25"/>
  <c r="AW51" i="25"/>
  <c r="AW25" i="25"/>
  <c r="AD51" i="25"/>
  <c r="AD25" i="25"/>
  <c r="J191" i="25"/>
  <c r="K137" i="25"/>
  <c r="K148" i="25" s="1"/>
  <c r="K41" i="25"/>
  <c r="K29" i="25" s="1"/>
  <c r="N51" i="25"/>
  <c r="N25" i="25"/>
  <c r="AH51" i="25"/>
  <c r="AH25" i="25"/>
  <c r="S51" i="25"/>
  <c r="S25" i="25"/>
  <c r="AF51" i="25"/>
  <c r="AF25" i="25"/>
  <c r="J190" i="25"/>
  <c r="K136" i="25"/>
  <c r="K147" i="25" s="1"/>
  <c r="AB51" i="25"/>
  <c r="AB25" i="25"/>
  <c r="T51" i="25"/>
  <c r="T25" i="25"/>
  <c r="K230" i="25"/>
  <c r="K192" i="25" s="1"/>
  <c r="K184" i="25" s="1"/>
  <c r="K32" i="25"/>
  <c r="K33" i="25" s="1"/>
  <c r="K208" i="25"/>
  <c r="K216" i="25" s="1"/>
  <c r="I200" i="25"/>
  <c r="I198" i="25"/>
  <c r="I199" i="25" s="1"/>
  <c r="W51" i="25"/>
  <c r="W25" i="25"/>
  <c r="AQ51" i="25"/>
  <c r="AQ25" i="25"/>
  <c r="AS51" i="25"/>
  <c r="AS25" i="25"/>
  <c r="AP51" i="25"/>
  <c r="AP25" i="25"/>
  <c r="AO51" i="25"/>
  <c r="AO25" i="25"/>
  <c r="AU51" i="25"/>
  <c r="AU25" i="25"/>
  <c r="AY51" i="25"/>
  <c r="AY25" i="25"/>
  <c r="BB51" i="25"/>
  <c r="BB25" i="25"/>
  <c r="J227" i="25"/>
  <c r="I229" i="25"/>
  <c r="J39" i="25"/>
  <c r="J27" i="25" s="1"/>
  <c r="Z51" i="25"/>
  <c r="Z25" i="25"/>
  <c r="AL51" i="25"/>
  <c r="AL25" i="25"/>
  <c r="O51" i="25"/>
  <c r="O25" i="25"/>
  <c r="AE25" i="25"/>
  <c r="AE51" i="25"/>
  <c r="AM25" i="25"/>
  <c r="AM51" i="25"/>
  <c r="N9" i="33" l="1"/>
  <c r="N8" i="30"/>
  <c r="N5" i="33"/>
  <c r="N7" i="33"/>
  <c r="N6" i="33"/>
  <c r="N6" i="30"/>
  <c r="N4" i="30"/>
  <c r="N5" i="30"/>
  <c r="H201" i="25"/>
  <c r="O3" i="33"/>
  <c r="O2" i="30"/>
  <c r="F217" i="25"/>
  <c r="G34" i="25"/>
  <c r="L42" i="27"/>
  <c r="O8" i="33" s="1"/>
  <c r="N7" i="30"/>
  <c r="M59" i="27"/>
  <c r="L48" i="27"/>
  <c r="L40" i="27" s="1"/>
  <c r="L60" i="27"/>
  <c r="L49" i="27" s="1"/>
  <c r="L41" i="27" s="1"/>
  <c r="M50" i="27"/>
  <c r="AS254" i="25"/>
  <c r="AS256" i="25" s="1"/>
  <c r="AS37" i="25"/>
  <c r="AN254" i="25"/>
  <c r="AN256" i="25" s="1"/>
  <c r="AN37" i="25"/>
  <c r="Z254" i="25"/>
  <c r="Z256" i="25" s="1"/>
  <c r="Z37" i="25"/>
  <c r="I190" i="25"/>
  <c r="J136" i="25"/>
  <c r="J147" i="25" s="1"/>
  <c r="AX254" i="25"/>
  <c r="AX256" i="25" s="1"/>
  <c r="AX37" i="25"/>
  <c r="R254" i="25"/>
  <c r="R256" i="25" s="1"/>
  <c r="R37" i="25"/>
  <c r="AI254" i="25"/>
  <c r="AI256" i="25" s="1"/>
  <c r="AI37" i="25"/>
  <c r="AA254" i="25"/>
  <c r="AA256" i="25" s="1"/>
  <c r="AA37" i="25"/>
  <c r="AM254" i="25"/>
  <c r="AM256" i="25" s="1"/>
  <c r="AM37" i="25"/>
  <c r="AU254" i="25"/>
  <c r="AU256" i="25" s="1"/>
  <c r="AU37" i="25"/>
  <c r="AQ254" i="25"/>
  <c r="AQ256" i="25" s="1"/>
  <c r="AQ37" i="25"/>
  <c r="K186" i="25"/>
  <c r="K187" i="25" s="1"/>
  <c r="K188" i="25"/>
  <c r="K189" i="25"/>
  <c r="AF254" i="25"/>
  <c r="AF256" i="25" s="1"/>
  <c r="AF37" i="25"/>
  <c r="BA254" i="25"/>
  <c r="BA256" i="25" s="1"/>
  <c r="BA37" i="25"/>
  <c r="J236" i="25"/>
  <c r="J36" i="25"/>
  <c r="J35" i="25" s="1"/>
  <c r="AC254" i="25"/>
  <c r="AC256" i="25" s="1"/>
  <c r="AC37" i="25"/>
  <c r="G185" i="25"/>
  <c r="F193" i="25"/>
  <c r="T254" i="25"/>
  <c r="T256" i="25" s="1"/>
  <c r="T37" i="25"/>
  <c r="P254" i="25"/>
  <c r="P256" i="25" s="1"/>
  <c r="P37" i="25"/>
  <c r="AJ254" i="25"/>
  <c r="AJ256" i="25" s="1"/>
  <c r="AJ37" i="25"/>
  <c r="Q254" i="25"/>
  <c r="Q256" i="25" s="1"/>
  <c r="Q37" i="25"/>
  <c r="H203" i="25"/>
  <c r="I139" i="25"/>
  <c r="I150" i="25" s="1"/>
  <c r="AE254" i="25"/>
  <c r="AE256" i="25" s="1"/>
  <c r="AE37" i="25"/>
  <c r="H229" i="25"/>
  <c r="I227" i="25"/>
  <c r="I39" i="25"/>
  <c r="I27" i="25" s="1"/>
  <c r="AO254" i="25"/>
  <c r="AO256" i="25" s="1"/>
  <c r="AO37" i="25"/>
  <c r="W254" i="25"/>
  <c r="W256" i="25" s="1"/>
  <c r="W37" i="25"/>
  <c r="S254" i="25"/>
  <c r="S256" i="25" s="1"/>
  <c r="S37" i="25"/>
  <c r="I191" i="25"/>
  <c r="J137" i="25"/>
  <c r="J148" i="25" s="1"/>
  <c r="J41" i="25"/>
  <c r="J29" i="25" s="1"/>
  <c r="I202" i="25"/>
  <c r="J138" i="25"/>
  <c r="J149" i="25" s="1"/>
  <c r="H235" i="25"/>
  <c r="I43" i="25"/>
  <c r="I31" i="25" s="1"/>
  <c r="I233" i="25"/>
  <c r="H214" i="25"/>
  <c r="I140" i="25"/>
  <c r="I151" i="25" s="1"/>
  <c r="H215" i="25"/>
  <c r="I141" i="25"/>
  <c r="I152" i="25" s="1"/>
  <c r="O254" i="25"/>
  <c r="O256" i="25" s="1"/>
  <c r="O37" i="25"/>
  <c r="J230" i="25"/>
  <c r="J192" i="25" s="1"/>
  <c r="J184" i="25" s="1"/>
  <c r="J32" i="25"/>
  <c r="J33" i="25" s="1"/>
  <c r="J208" i="25"/>
  <c r="J216" i="25" s="1"/>
  <c r="AB254" i="25"/>
  <c r="AB256" i="25" s="1"/>
  <c r="AB37" i="25"/>
  <c r="AD254" i="25"/>
  <c r="AD256" i="25" s="1"/>
  <c r="AD37" i="25"/>
  <c r="AT254" i="25"/>
  <c r="AT256" i="25" s="1"/>
  <c r="AT37" i="25"/>
  <c r="J225" i="25"/>
  <c r="J176" i="25"/>
  <c r="J177" i="25" s="1"/>
  <c r="J178" i="25" s="1"/>
  <c r="J179" i="25" s="1"/>
  <c r="K62" i="27" s="1"/>
  <c r="K51" i="27" s="1"/>
  <c r="K43" i="27" s="1"/>
  <c r="U254" i="25"/>
  <c r="U256" i="25" s="1"/>
  <c r="U37" i="25"/>
  <c r="H200" i="25"/>
  <c r="H198" i="25"/>
  <c r="H199" i="25" s="1"/>
  <c r="AR254" i="25"/>
  <c r="AR256" i="25" s="1"/>
  <c r="AR37" i="25"/>
  <c r="K218" i="25"/>
  <c r="BB254" i="25"/>
  <c r="BB256" i="25" s="1"/>
  <c r="BB37" i="25"/>
  <c r="AP254" i="25"/>
  <c r="AP256" i="25" s="1"/>
  <c r="AP37" i="25"/>
  <c r="AH254" i="25"/>
  <c r="AH256" i="25" s="1"/>
  <c r="AH37" i="25"/>
  <c r="AK254" i="25"/>
  <c r="AK256" i="25" s="1"/>
  <c r="AK37" i="25"/>
  <c r="H224" i="25"/>
  <c r="I220" i="25"/>
  <c r="I42" i="25"/>
  <c r="I30" i="25" s="1"/>
  <c r="AV254" i="25"/>
  <c r="AV256" i="25" s="1"/>
  <c r="AV37" i="25"/>
  <c r="F204" i="25"/>
  <c r="G205" i="25"/>
  <c r="G197" i="25" s="1"/>
  <c r="G196" i="25"/>
  <c r="X254" i="25"/>
  <c r="X256" i="25" s="1"/>
  <c r="X37" i="25"/>
  <c r="AY254" i="25"/>
  <c r="AY256" i="25" s="1"/>
  <c r="AY37" i="25"/>
  <c r="N254" i="25"/>
  <c r="N256" i="25" s="1"/>
  <c r="N37" i="25"/>
  <c r="V254" i="25"/>
  <c r="V256" i="25" s="1"/>
  <c r="V37" i="25"/>
  <c r="AL254" i="25"/>
  <c r="AL256" i="25" s="1"/>
  <c r="AL37" i="25"/>
  <c r="K40" i="25"/>
  <c r="K28" i="25" s="1"/>
  <c r="AW254" i="25"/>
  <c r="AW256" i="25" s="1"/>
  <c r="AW37" i="25"/>
  <c r="AG254" i="25"/>
  <c r="AG256" i="25" s="1"/>
  <c r="AG37" i="25"/>
  <c r="AZ254" i="25"/>
  <c r="AZ256" i="25" s="1"/>
  <c r="AZ37" i="25"/>
  <c r="Y254" i="25"/>
  <c r="Y256" i="25" s="1"/>
  <c r="Y37" i="25"/>
  <c r="O7" i="33" l="1"/>
  <c r="O6" i="33"/>
  <c r="O5" i="33"/>
  <c r="O4" i="30"/>
  <c r="O5" i="30"/>
  <c r="O6" i="30"/>
  <c r="O7" i="30"/>
  <c r="M42" i="27"/>
  <c r="P8" i="33" s="1"/>
  <c r="E217" i="25"/>
  <c r="F34" i="25"/>
  <c r="J218" i="25"/>
  <c r="O9" i="33"/>
  <c r="O8" i="30"/>
  <c r="N3" i="33"/>
  <c r="N2" i="30"/>
  <c r="N50" i="27"/>
  <c r="M48" i="27"/>
  <c r="M40" i="27" s="1"/>
  <c r="M60" i="27"/>
  <c r="M49" i="27" s="1"/>
  <c r="M41" i="27" s="1"/>
  <c r="N59" i="27"/>
  <c r="G235" i="25"/>
  <c r="H43" i="25"/>
  <c r="H31" i="25" s="1"/>
  <c r="H233" i="25"/>
  <c r="H190" i="25"/>
  <c r="I136" i="25"/>
  <c r="I147" i="25" s="1"/>
  <c r="H202" i="25"/>
  <c r="I138" i="25"/>
  <c r="I149" i="25" s="1"/>
  <c r="G203" i="25"/>
  <c r="H139" i="25"/>
  <c r="H150" i="25" s="1"/>
  <c r="G215" i="25"/>
  <c r="H141" i="25"/>
  <c r="H152" i="25" s="1"/>
  <c r="F185" i="25"/>
  <c r="E193" i="25"/>
  <c r="I225" i="25"/>
  <c r="I176" i="25"/>
  <c r="I177" i="25" s="1"/>
  <c r="I178" i="25" s="1"/>
  <c r="I179" i="25" s="1"/>
  <c r="J62" i="27" s="1"/>
  <c r="J51" i="27" s="1"/>
  <c r="J43" i="27" s="1"/>
  <c r="H220" i="25"/>
  <c r="G224" i="25"/>
  <c r="H42" i="25"/>
  <c r="H30" i="25" s="1"/>
  <c r="G214" i="25"/>
  <c r="H140" i="25"/>
  <c r="H151" i="25" s="1"/>
  <c r="H191" i="25"/>
  <c r="I137" i="25"/>
  <c r="I148" i="25" s="1"/>
  <c r="I41" i="25"/>
  <c r="I29" i="25" s="1"/>
  <c r="I230" i="25"/>
  <c r="I192" i="25" s="1"/>
  <c r="I184" i="25" s="1"/>
  <c r="I40" i="25" s="1"/>
  <c r="I28" i="25" s="1"/>
  <c r="I32" i="25"/>
  <c r="I33" i="25" s="1"/>
  <c r="I208" i="25"/>
  <c r="I216" i="25" s="1"/>
  <c r="E204" i="25"/>
  <c r="F196" i="25"/>
  <c r="F205" i="25"/>
  <c r="F197" i="25" s="1"/>
  <c r="F201" i="25" s="1"/>
  <c r="G200" i="25"/>
  <c r="G198" i="25"/>
  <c r="G199" i="25" s="1"/>
  <c r="I236" i="25"/>
  <c r="I36" i="25"/>
  <c r="I35" i="25" s="1"/>
  <c r="H227" i="25"/>
  <c r="G229" i="25"/>
  <c r="H39" i="25"/>
  <c r="H27" i="25" s="1"/>
  <c r="G201" i="25"/>
  <c r="J186" i="25"/>
  <c r="J187" i="25" s="1"/>
  <c r="J188" i="25"/>
  <c r="J189" i="25"/>
  <c r="J40" i="25"/>
  <c r="J28" i="25" s="1"/>
  <c r="P6" i="33" l="1"/>
  <c r="P7" i="33"/>
  <c r="P5" i="33"/>
  <c r="P5" i="30"/>
  <c r="P6" i="30"/>
  <c r="P4" i="30"/>
  <c r="P9" i="33"/>
  <c r="P8" i="30"/>
  <c r="M3" i="33"/>
  <c r="M2" i="30"/>
  <c r="N42" i="27"/>
  <c r="Q8" i="33" s="1"/>
  <c r="P7" i="30"/>
  <c r="D217" i="25"/>
  <c r="D34" i="25" s="1"/>
  <c r="E34" i="25"/>
  <c r="O59" i="27"/>
  <c r="N48" i="27"/>
  <c r="N40" i="27" s="1"/>
  <c r="N60" i="27"/>
  <c r="N49" i="27" s="1"/>
  <c r="N41" i="27" s="1"/>
  <c r="O50" i="27"/>
  <c r="G191" i="25"/>
  <c r="H41" i="25"/>
  <c r="H29" i="25" s="1"/>
  <c r="H137" i="25"/>
  <c r="H148" i="25" s="1"/>
  <c r="G202" i="25"/>
  <c r="H138" i="25"/>
  <c r="H149" i="25" s="1"/>
  <c r="G227" i="25"/>
  <c r="F229" i="25"/>
  <c r="G39" i="25"/>
  <c r="G27" i="25" s="1"/>
  <c r="F200" i="25"/>
  <c r="F198" i="25"/>
  <c r="F199" i="25" s="1"/>
  <c r="D193" i="25"/>
  <c r="D185" i="25" s="1"/>
  <c r="E185" i="25"/>
  <c r="H230" i="25"/>
  <c r="H192" i="25" s="1"/>
  <c r="H184" i="25" s="1"/>
  <c r="H32" i="25"/>
  <c r="H33" i="25" s="1"/>
  <c r="H208" i="25"/>
  <c r="H216" i="25" s="1"/>
  <c r="D204" i="25"/>
  <c r="E205" i="25"/>
  <c r="E197" i="25" s="1"/>
  <c r="E196" i="25"/>
  <c r="F214" i="25"/>
  <c r="G140" i="25"/>
  <c r="G151" i="25" s="1"/>
  <c r="G190" i="25"/>
  <c r="H136" i="25"/>
  <c r="H147" i="25" s="1"/>
  <c r="I218" i="25"/>
  <c r="G220" i="25"/>
  <c r="F224" i="25"/>
  <c r="G42" i="25"/>
  <c r="G30" i="25" s="1"/>
  <c r="F215" i="25"/>
  <c r="G141" i="25"/>
  <c r="G152" i="25" s="1"/>
  <c r="H236" i="25"/>
  <c r="H36" i="25"/>
  <c r="H35" i="25" s="1"/>
  <c r="I186" i="25"/>
  <c r="I187" i="25" s="1"/>
  <c r="I188" i="25"/>
  <c r="I189" i="25"/>
  <c r="H225" i="25"/>
  <c r="H176" i="25"/>
  <c r="H177" i="25" s="1"/>
  <c r="H178" i="25" s="1"/>
  <c r="H179" i="25" s="1"/>
  <c r="I62" i="27" s="1"/>
  <c r="I51" i="27" s="1"/>
  <c r="I43" i="27" s="1"/>
  <c r="F203" i="25"/>
  <c r="G139" i="25"/>
  <c r="G150" i="25" s="1"/>
  <c r="F235" i="25"/>
  <c r="G43" i="25"/>
  <c r="G31" i="25" s="1"/>
  <c r="G233" i="25"/>
  <c r="Q7" i="30" l="1"/>
  <c r="L3" i="33"/>
  <c r="L2" i="30"/>
  <c r="Q7" i="33"/>
  <c r="Q5" i="33"/>
  <c r="Q6" i="33"/>
  <c r="Q5" i="30"/>
  <c r="Q6" i="30"/>
  <c r="Q4" i="30"/>
  <c r="O42" i="27"/>
  <c r="R8" i="33" s="1"/>
  <c r="H218" i="25"/>
  <c r="Q9" i="33"/>
  <c r="Q8" i="30"/>
  <c r="P50" i="27"/>
  <c r="O48" i="27"/>
  <c r="O40" i="27" s="1"/>
  <c r="O60" i="27"/>
  <c r="O49" i="27" s="1"/>
  <c r="O41" i="27" s="1"/>
  <c r="P59" i="27"/>
  <c r="E203" i="25"/>
  <c r="F139" i="25"/>
  <c r="F150" i="25" s="1"/>
  <c r="F190" i="25"/>
  <c r="G136" i="25"/>
  <c r="G147" i="25" s="1"/>
  <c r="E229" i="25"/>
  <c r="F227" i="25"/>
  <c r="F39" i="25"/>
  <c r="F27" i="25" s="1"/>
  <c r="E215" i="25"/>
  <c r="F141" i="25"/>
  <c r="F152" i="25" s="1"/>
  <c r="G230" i="25"/>
  <c r="G192" i="25" s="1"/>
  <c r="G184" i="25" s="1"/>
  <c r="G40" i="25" s="1"/>
  <c r="G28" i="25" s="1"/>
  <c r="G32" i="25"/>
  <c r="G33" i="25" s="1"/>
  <c r="G208" i="25"/>
  <c r="G216" i="25" s="1"/>
  <c r="H188" i="25"/>
  <c r="H186" i="25"/>
  <c r="H187" i="25" s="1"/>
  <c r="H189" i="25"/>
  <c r="E224" i="25"/>
  <c r="F220" i="25"/>
  <c r="F42" i="25"/>
  <c r="F30" i="25" s="1"/>
  <c r="E214" i="25"/>
  <c r="F140" i="25"/>
  <c r="F151" i="25" s="1"/>
  <c r="F202" i="25"/>
  <c r="G138" i="25"/>
  <c r="G149" i="25" s="1"/>
  <c r="D196" i="25"/>
  <c r="D205" i="25"/>
  <c r="D197" i="25" s="1"/>
  <c r="G236" i="25"/>
  <c r="G36" i="25"/>
  <c r="G35" i="25" s="1"/>
  <c r="G225" i="25"/>
  <c r="G176" i="25"/>
  <c r="G177" i="25" s="1"/>
  <c r="G178" i="25" s="1"/>
  <c r="G179" i="25" s="1"/>
  <c r="H62" i="27" s="1"/>
  <c r="H51" i="27" s="1"/>
  <c r="H43" i="27" s="1"/>
  <c r="E200" i="25"/>
  <c r="E198" i="25"/>
  <c r="E199" i="25" s="1"/>
  <c r="E235" i="25"/>
  <c r="F43" i="25"/>
  <c r="F31" i="25" s="1"/>
  <c r="F233" i="25"/>
  <c r="H40" i="25"/>
  <c r="H28" i="25" s="1"/>
  <c r="E201" i="25"/>
  <c r="F191" i="25"/>
  <c r="G137" i="25"/>
  <c r="G148" i="25" s="1"/>
  <c r="G41" i="25"/>
  <c r="G29" i="25" s="1"/>
  <c r="D201" i="25" l="1"/>
  <c r="R7" i="33"/>
  <c r="R6" i="33"/>
  <c r="R5" i="33"/>
  <c r="R5" i="30"/>
  <c r="R6" i="30"/>
  <c r="R4" i="30"/>
  <c r="R9" i="33"/>
  <c r="R8" i="30"/>
  <c r="K3" i="33"/>
  <c r="K2" i="30"/>
  <c r="P42" i="27"/>
  <c r="S8" i="33" s="1"/>
  <c r="R7" i="30"/>
  <c r="P60" i="27"/>
  <c r="P49" i="27" s="1"/>
  <c r="P41" i="27" s="1"/>
  <c r="Q59" i="27"/>
  <c r="P48" i="27"/>
  <c r="P40" i="27" s="1"/>
  <c r="Q50" i="27"/>
  <c r="E191" i="25"/>
  <c r="F137" i="25"/>
  <c r="F148" i="25" s="1"/>
  <c r="F41" i="25"/>
  <c r="F29" i="25" s="1"/>
  <c r="E202" i="25"/>
  <c r="F138" i="25"/>
  <c r="F149" i="25" s="1"/>
  <c r="F230" i="25"/>
  <c r="F192" i="25" s="1"/>
  <c r="F184" i="25" s="1"/>
  <c r="F40" i="25" s="1"/>
  <c r="F28" i="25" s="1"/>
  <c r="F32" i="25"/>
  <c r="F33" i="25" s="1"/>
  <c r="F208" i="25"/>
  <c r="F216" i="25" s="1"/>
  <c r="D229" i="25"/>
  <c r="E227" i="25"/>
  <c r="E39" i="25"/>
  <c r="E27" i="25" s="1"/>
  <c r="F236" i="25"/>
  <c r="F36" i="25"/>
  <c r="F35" i="25" s="1"/>
  <c r="G218" i="25"/>
  <c r="D214" i="25"/>
  <c r="D140" i="25" s="1"/>
  <c r="D151" i="25" s="1"/>
  <c r="E140" i="25"/>
  <c r="E151" i="25" s="1"/>
  <c r="D235" i="25"/>
  <c r="E43" i="25"/>
  <c r="E31" i="25" s="1"/>
  <c r="E233" i="25"/>
  <c r="G186" i="25"/>
  <c r="G187" i="25" s="1"/>
  <c r="G188" i="25"/>
  <c r="G189" i="25"/>
  <c r="E190" i="25"/>
  <c r="F136" i="25"/>
  <c r="F147" i="25" s="1"/>
  <c r="D200" i="25"/>
  <c r="D198" i="25"/>
  <c r="D199" i="25" s="1"/>
  <c r="F225" i="25"/>
  <c r="F176" i="25"/>
  <c r="F177" i="25" s="1"/>
  <c r="F178" i="25" s="1"/>
  <c r="F179" i="25" s="1"/>
  <c r="G62" i="27" s="1"/>
  <c r="G51" i="27" s="1"/>
  <c r="G43" i="27" s="1"/>
  <c r="E220" i="25"/>
  <c r="D224" i="25"/>
  <c r="E42" i="25"/>
  <c r="E30" i="25" s="1"/>
  <c r="D215" i="25"/>
  <c r="D141" i="25" s="1"/>
  <c r="D152" i="25" s="1"/>
  <c r="E141" i="25"/>
  <c r="E152" i="25" s="1"/>
  <c r="D203" i="25"/>
  <c r="D139" i="25" s="1"/>
  <c r="D150" i="25" s="1"/>
  <c r="E139" i="25"/>
  <c r="E150" i="25" s="1"/>
  <c r="Q42" i="27" l="1"/>
  <c r="T8" i="33" s="1"/>
  <c r="S5" i="33"/>
  <c r="S6" i="33"/>
  <c r="S7" i="33"/>
  <c r="S4" i="30"/>
  <c r="S5" i="30"/>
  <c r="S6" i="30"/>
  <c r="S7" i="30"/>
  <c r="S9" i="33"/>
  <c r="S8" i="30"/>
  <c r="J3" i="33"/>
  <c r="J2" i="30"/>
  <c r="R50" i="27"/>
  <c r="Q48" i="27"/>
  <c r="Q40" i="27" s="1"/>
  <c r="R59" i="27"/>
  <c r="Q60" i="27"/>
  <c r="Q49" i="27" s="1"/>
  <c r="Q41" i="27" s="1"/>
  <c r="D220" i="25"/>
  <c r="D42" i="25"/>
  <c r="D30" i="25" s="1"/>
  <c r="D190" i="25"/>
  <c r="E136" i="25"/>
  <c r="E147" i="25" s="1"/>
  <c r="E225" i="25"/>
  <c r="E176" i="25"/>
  <c r="E177" i="25" s="1"/>
  <c r="E178" i="25" s="1"/>
  <c r="E179" i="25" s="1"/>
  <c r="F62" i="27" s="1"/>
  <c r="F51" i="27" s="1"/>
  <c r="F43" i="27" s="1"/>
  <c r="F188" i="25"/>
  <c r="F186" i="25"/>
  <c r="F187" i="25" s="1"/>
  <c r="F189" i="25"/>
  <c r="F218" i="25"/>
  <c r="D202" i="25"/>
  <c r="D138" i="25" s="1"/>
  <c r="D149" i="25" s="1"/>
  <c r="E138" i="25"/>
  <c r="E149" i="25" s="1"/>
  <c r="E236" i="25"/>
  <c r="E218" i="25" s="1"/>
  <c r="E36" i="25"/>
  <c r="E35" i="25" s="1"/>
  <c r="E230" i="25"/>
  <c r="E192" i="25" s="1"/>
  <c r="E184" i="25" s="1"/>
  <c r="E32" i="25"/>
  <c r="E33" i="25" s="1"/>
  <c r="E208" i="25"/>
  <c r="E216" i="25" s="1"/>
  <c r="D43" i="25"/>
  <c r="D31" i="25" s="1"/>
  <c r="D233" i="25"/>
  <c r="D227" i="25"/>
  <c r="D39" i="25"/>
  <c r="D27" i="25" s="1"/>
  <c r="D191" i="25"/>
  <c r="E137" i="25"/>
  <c r="E148" i="25" s="1"/>
  <c r="E41" i="25"/>
  <c r="E29" i="25" s="1"/>
  <c r="T9" i="33" l="1"/>
  <c r="T8" i="30"/>
  <c r="R42" i="27"/>
  <c r="U8" i="33" s="1"/>
  <c r="T5" i="33"/>
  <c r="T6" i="33"/>
  <c r="T7" i="33"/>
  <c r="T5" i="30"/>
  <c r="T4" i="30"/>
  <c r="T6" i="30"/>
  <c r="I3" i="33"/>
  <c r="I2" i="30"/>
  <c r="T7" i="30"/>
  <c r="R60" i="27"/>
  <c r="R49" i="27" s="1"/>
  <c r="R41" i="27" s="1"/>
  <c r="S59" i="27"/>
  <c r="R48" i="27"/>
  <c r="R40" i="27" s="1"/>
  <c r="S50" i="27"/>
  <c r="E188" i="25"/>
  <c r="E186" i="25"/>
  <c r="E187" i="25" s="1"/>
  <c r="E189" i="25"/>
  <c r="D137" i="25"/>
  <c r="D148" i="25" s="1"/>
  <c r="D41" i="25"/>
  <c r="D29" i="25" s="1"/>
  <c r="D230" i="25"/>
  <c r="D192" i="25" s="1"/>
  <c r="D184" i="25" s="1"/>
  <c r="D40" i="25" s="1"/>
  <c r="D28" i="25" s="1"/>
  <c r="D32" i="25"/>
  <c r="D33" i="25" s="1"/>
  <c r="D208" i="25"/>
  <c r="D216" i="25" s="1"/>
  <c r="E40" i="25"/>
  <c r="E28" i="25" s="1"/>
  <c r="D236" i="25"/>
  <c r="D36" i="25"/>
  <c r="D35" i="25" s="1"/>
  <c r="D136" i="25"/>
  <c r="D147" i="25" s="1"/>
  <c r="D225" i="25"/>
  <c r="D176" i="25"/>
  <c r="D177" i="25" s="1"/>
  <c r="D178" i="25" s="1"/>
  <c r="D179" i="25" s="1"/>
  <c r="E62" i="27" s="1"/>
  <c r="E51" i="27" s="1"/>
  <c r="E43" i="27" s="1"/>
  <c r="S42" i="27" l="1"/>
  <c r="V8" i="33" s="1"/>
  <c r="U9" i="33"/>
  <c r="U8" i="30"/>
  <c r="U6" i="33"/>
  <c r="U7" i="33"/>
  <c r="U5" i="33"/>
  <c r="U6" i="30"/>
  <c r="U4" i="30"/>
  <c r="U5" i="30"/>
  <c r="H3" i="33"/>
  <c r="H2" i="30"/>
  <c r="U7" i="30"/>
  <c r="T50" i="27"/>
  <c r="T59" i="27"/>
  <c r="S48" i="27"/>
  <c r="S40" i="27" s="1"/>
  <c r="S60" i="27"/>
  <c r="S49" i="27" s="1"/>
  <c r="S41" i="27" s="1"/>
  <c r="D186" i="25"/>
  <c r="D187" i="25" s="1"/>
  <c r="D188" i="25"/>
  <c r="D189" i="25"/>
  <c r="D218" i="25"/>
  <c r="V7" i="33" l="1"/>
  <c r="V6" i="33"/>
  <c r="V5" i="33"/>
  <c r="V4" i="30"/>
  <c r="V5" i="30"/>
  <c r="V6" i="30"/>
  <c r="V9" i="33"/>
  <c r="V8" i="30"/>
  <c r="T42" i="27"/>
  <c r="W8" i="33" s="1"/>
  <c r="V7" i="30"/>
  <c r="U59" i="27"/>
  <c r="T48" i="27"/>
  <c r="T40" i="27" s="1"/>
  <c r="T60" i="27"/>
  <c r="T49" i="27" s="1"/>
  <c r="T41" i="27" s="1"/>
  <c r="U50" i="27"/>
  <c r="U42" i="27" l="1"/>
  <c r="X8" i="33" s="1"/>
  <c r="W9" i="33"/>
  <c r="W8" i="30"/>
  <c r="W7" i="33"/>
  <c r="W6" i="33"/>
  <c r="W5" i="33"/>
  <c r="W4" i="30"/>
  <c r="W6" i="30"/>
  <c r="W5" i="30"/>
  <c r="W7" i="30"/>
  <c r="V50" i="27"/>
  <c r="U48" i="27"/>
  <c r="U40" i="27" s="1"/>
  <c r="U60" i="27"/>
  <c r="U49" i="27" s="1"/>
  <c r="U41" i="27" s="1"/>
  <c r="V59" i="27"/>
  <c r="X9" i="33" l="1"/>
  <c r="X8" i="30"/>
  <c r="V42" i="27"/>
  <c r="Y8" i="33" s="1"/>
  <c r="X5" i="33"/>
  <c r="X6" i="33"/>
  <c r="X7" i="33"/>
  <c r="X4" i="30"/>
  <c r="X6" i="30"/>
  <c r="X5" i="30"/>
  <c r="X7" i="30"/>
  <c r="W59" i="27"/>
  <c r="V48" i="27"/>
  <c r="V40" i="27" s="1"/>
  <c r="V60" i="27"/>
  <c r="V49" i="27" s="1"/>
  <c r="V41" i="27" s="1"/>
  <c r="W50" i="27"/>
  <c r="Y9" i="33" l="1"/>
  <c r="Y8" i="30"/>
  <c r="W42" i="27"/>
  <c r="Z8" i="33" s="1"/>
  <c r="Y6" i="33"/>
  <c r="Y7" i="33"/>
  <c r="Y5" i="33"/>
  <c r="Y4" i="30"/>
  <c r="Y6" i="30"/>
  <c r="Y5" i="30"/>
  <c r="Y7" i="30"/>
  <c r="X50" i="27"/>
  <c r="W48" i="27"/>
  <c r="W40" i="27" s="1"/>
  <c r="W60" i="27"/>
  <c r="W49" i="27" s="1"/>
  <c r="W41" i="27" s="1"/>
  <c r="X59" i="27"/>
  <c r="Z7" i="33" l="1"/>
  <c r="Z6" i="33"/>
  <c r="Z5" i="33"/>
  <c r="Z5" i="30"/>
  <c r="Z6" i="30"/>
  <c r="Z4" i="30"/>
  <c r="Z9" i="33"/>
  <c r="Z8" i="30"/>
  <c r="X42" i="27"/>
  <c r="AA8" i="33" s="1"/>
  <c r="Z7" i="30"/>
  <c r="X60" i="27"/>
  <c r="X49" i="27" s="1"/>
  <c r="X41" i="27" s="1"/>
  <c r="Y59" i="27"/>
  <c r="X48" i="27"/>
  <c r="X40" i="27" s="1"/>
  <c r="Y50" i="27"/>
  <c r="Y42" i="27" l="1"/>
  <c r="AB8" i="33" s="1"/>
  <c r="AA9" i="33"/>
  <c r="AA8" i="30"/>
  <c r="AA7" i="30"/>
  <c r="AA7" i="33"/>
  <c r="AA5" i="33"/>
  <c r="AA6" i="33"/>
  <c r="AA6" i="30"/>
  <c r="AA5" i="30"/>
  <c r="AA4" i="30"/>
  <c r="Z50" i="27"/>
  <c r="Y48" i="27"/>
  <c r="Y40" i="27" s="1"/>
  <c r="Z59" i="27"/>
  <c r="Y60" i="27"/>
  <c r="Y49" i="27" s="1"/>
  <c r="Y41" i="27" s="1"/>
  <c r="Z42" i="27" l="1"/>
  <c r="AC8" i="33" s="1"/>
  <c r="AB9" i="33"/>
  <c r="AB8" i="30"/>
  <c r="AB7" i="33"/>
  <c r="AB6" i="33"/>
  <c r="AB5" i="33"/>
  <c r="AB5" i="30"/>
  <c r="AB6" i="30"/>
  <c r="AB4" i="30"/>
  <c r="AB7" i="30"/>
  <c r="Z60" i="27"/>
  <c r="Z49" i="27" s="1"/>
  <c r="Z41" i="27" s="1"/>
  <c r="AA59" i="27"/>
  <c r="Z48" i="27"/>
  <c r="Z40" i="27" s="1"/>
  <c r="AA50" i="27"/>
  <c r="AA42" i="27" l="1"/>
  <c r="AD8" i="33" s="1"/>
  <c r="AC7" i="33"/>
  <c r="AC6" i="33"/>
  <c r="AC5" i="33"/>
  <c r="AC4" i="30"/>
  <c r="AC5" i="30"/>
  <c r="AC6" i="30"/>
  <c r="AC9" i="33"/>
  <c r="AC8" i="30"/>
  <c r="AC7" i="30"/>
  <c r="AB50" i="27"/>
  <c r="AB59" i="27"/>
  <c r="AA48" i="27"/>
  <c r="AA40" i="27" s="1"/>
  <c r="AA60" i="27"/>
  <c r="AA49" i="27" s="1"/>
  <c r="AA41" i="27" s="1"/>
  <c r="AB42" i="27" l="1"/>
  <c r="AE8" i="33" s="1"/>
  <c r="AD7" i="33"/>
  <c r="AD6" i="33"/>
  <c r="AD5" i="33"/>
  <c r="AD6" i="30"/>
  <c r="AD4" i="30"/>
  <c r="AD5" i="30"/>
  <c r="AD9" i="33"/>
  <c r="AD8" i="30"/>
  <c r="AD7" i="30"/>
  <c r="AC59" i="27"/>
  <c r="AB48" i="27"/>
  <c r="AB40" i="27" s="1"/>
  <c r="AB60" i="27"/>
  <c r="AB49" i="27" s="1"/>
  <c r="AB41" i="27" s="1"/>
  <c r="AC50" i="27"/>
  <c r="AC42" i="27" l="1"/>
  <c r="AF8" i="33" s="1"/>
  <c r="AE6" i="33"/>
  <c r="AE5" i="33"/>
  <c r="AE7" i="33"/>
  <c r="AE5" i="30"/>
  <c r="AE4" i="30"/>
  <c r="AE6" i="30"/>
  <c r="AE9" i="33"/>
  <c r="AE8" i="30"/>
  <c r="AE7" i="30"/>
  <c r="AD50" i="27"/>
  <c r="AC48" i="27"/>
  <c r="AC40" i="27" s="1"/>
  <c r="AC60" i="27"/>
  <c r="AC49" i="27" s="1"/>
  <c r="AC41" i="27" s="1"/>
  <c r="AD59" i="27"/>
  <c r="AF9" i="33" l="1"/>
  <c r="AF8" i="30"/>
  <c r="AD42" i="27"/>
  <c r="AG8" i="33" s="1"/>
  <c r="AF5" i="33"/>
  <c r="AF7" i="33"/>
  <c r="AF6" i="33"/>
  <c r="AF6" i="30"/>
  <c r="AF4" i="30"/>
  <c r="AF5" i="30"/>
  <c r="AF7" i="30"/>
  <c r="AE59" i="27"/>
  <c r="AD48" i="27"/>
  <c r="AD40" i="27" s="1"/>
  <c r="AD60" i="27"/>
  <c r="AD49" i="27" s="1"/>
  <c r="AD41" i="27" s="1"/>
  <c r="AE50" i="27"/>
  <c r="AG9" i="33" l="1"/>
  <c r="AG8" i="30"/>
  <c r="AE42" i="27"/>
  <c r="AH8" i="33" s="1"/>
  <c r="AG6" i="33"/>
  <c r="AG7" i="33"/>
  <c r="AG5" i="33"/>
  <c r="AG5" i="30"/>
  <c r="AG6" i="30"/>
  <c r="AG4" i="30"/>
  <c r="AG7" i="30"/>
  <c r="AF50" i="27"/>
  <c r="AE48" i="27"/>
  <c r="AE40" i="27" s="1"/>
  <c r="AE60" i="27"/>
  <c r="AE49" i="27" s="1"/>
  <c r="AE41" i="27" s="1"/>
  <c r="AF59" i="27"/>
  <c r="AH9" i="33" l="1"/>
  <c r="AH8" i="30"/>
  <c r="AF42" i="27"/>
  <c r="AI8" i="33" s="1"/>
  <c r="AH5" i="33"/>
  <c r="AH7" i="33"/>
  <c r="AH6" i="33"/>
  <c r="AH6" i="30"/>
  <c r="AH5" i="30"/>
  <c r="AH4" i="30"/>
  <c r="AH7" i="30"/>
  <c r="AF60" i="27"/>
  <c r="AF49" i="27" s="1"/>
  <c r="AF41" i="27" s="1"/>
  <c r="AG59" i="27"/>
  <c r="AF48" i="27"/>
  <c r="AF40" i="27" s="1"/>
  <c r="AG50" i="27"/>
  <c r="AG42" i="27" l="1"/>
  <c r="AJ8" i="33" s="1"/>
  <c r="AI7" i="33"/>
  <c r="AI6" i="33"/>
  <c r="AI5" i="33"/>
  <c r="AI6" i="30"/>
  <c r="AI5" i="30"/>
  <c r="AI4" i="30"/>
  <c r="AI9" i="33"/>
  <c r="AI8" i="30"/>
  <c r="AI7" i="30"/>
  <c r="AH50" i="27"/>
  <c r="AG48" i="27"/>
  <c r="AG40" i="27" s="1"/>
  <c r="AH59" i="27"/>
  <c r="AG60" i="27"/>
  <c r="AG49" i="27" s="1"/>
  <c r="AG41" i="27" s="1"/>
  <c r="AJ9" i="33" l="1"/>
  <c r="AJ8" i="30"/>
  <c r="AH42" i="27"/>
  <c r="AK8" i="33" s="1"/>
  <c r="AJ7" i="33"/>
  <c r="AJ6" i="33"/>
  <c r="AJ5" i="33"/>
  <c r="AJ6" i="30"/>
  <c r="AJ4" i="30"/>
  <c r="AJ5" i="30"/>
  <c r="AJ7" i="30"/>
  <c r="AH60" i="27"/>
  <c r="AH49" i="27" s="1"/>
  <c r="AH41" i="27" s="1"/>
  <c r="AI59" i="27"/>
  <c r="AH48" i="27"/>
  <c r="AH40" i="27" s="1"/>
  <c r="AI50" i="27"/>
  <c r="AK7" i="33" l="1"/>
  <c r="AK5" i="33"/>
  <c r="AK6" i="33"/>
  <c r="AK6" i="30"/>
  <c r="AK4" i="30"/>
  <c r="AK5" i="30"/>
  <c r="AI42" i="27"/>
  <c r="AL8" i="33" s="1"/>
  <c r="AK9" i="33"/>
  <c r="AK8" i="30"/>
  <c r="AK7" i="30"/>
  <c r="AJ50" i="27"/>
  <c r="AJ59" i="27"/>
  <c r="AI48" i="27"/>
  <c r="AI40" i="27" s="1"/>
  <c r="AI60" i="27"/>
  <c r="AI49" i="27" s="1"/>
  <c r="AI41" i="27" s="1"/>
  <c r="AL9" i="33" l="1"/>
  <c r="AL8" i="30"/>
  <c r="AL7" i="33"/>
  <c r="AL5" i="33"/>
  <c r="AL6" i="33"/>
  <c r="AL6" i="30"/>
  <c r="AL5" i="30"/>
  <c r="AL4" i="30"/>
  <c r="AJ42" i="27"/>
  <c r="AM8" i="33" s="1"/>
  <c r="AL7" i="30"/>
  <c r="AK59" i="27"/>
  <c r="AJ48" i="27"/>
  <c r="AJ40" i="27" s="1"/>
  <c r="AJ60" i="27"/>
  <c r="AJ49" i="27" s="1"/>
  <c r="AJ41" i="27" s="1"/>
  <c r="AK50" i="27"/>
  <c r="AK42" i="27" l="1"/>
  <c r="AN8" i="33" s="1"/>
  <c r="AM7" i="33"/>
  <c r="AM6" i="33"/>
  <c r="AM5" i="33"/>
  <c r="AM4" i="30"/>
  <c r="AM5" i="30"/>
  <c r="AM6" i="30"/>
  <c r="AM9" i="33"/>
  <c r="AM8" i="30"/>
  <c r="AM7" i="30"/>
  <c r="AL50" i="27"/>
  <c r="AK48" i="27"/>
  <c r="AK40" i="27" s="1"/>
  <c r="AK60" i="27"/>
  <c r="AK49" i="27" s="1"/>
  <c r="AK41" i="27" s="1"/>
  <c r="AL59" i="27"/>
  <c r="AN9" i="33" l="1"/>
  <c r="AN8" i="30"/>
  <c r="AL42" i="27"/>
  <c r="AO8" i="33" s="1"/>
  <c r="AN6" i="33"/>
  <c r="AN7" i="33"/>
  <c r="AN5" i="33"/>
  <c r="AN5" i="30"/>
  <c r="AN6" i="30"/>
  <c r="AN4" i="30"/>
  <c r="AN7" i="30"/>
  <c r="AM59" i="27"/>
  <c r="AL48" i="27"/>
  <c r="AL40" i="27" s="1"/>
  <c r="AL60" i="27"/>
  <c r="AL49" i="27" s="1"/>
  <c r="AL41" i="27" s="1"/>
  <c r="AM50" i="27"/>
  <c r="AO6" i="33" l="1"/>
  <c r="AO5" i="33"/>
  <c r="AO7" i="33"/>
  <c r="AO5" i="30"/>
  <c r="AO6" i="30"/>
  <c r="AO4" i="30"/>
  <c r="AO9" i="33"/>
  <c r="AO8" i="30"/>
  <c r="AM42" i="27"/>
  <c r="AP8" i="33" s="1"/>
  <c r="AO7" i="30"/>
  <c r="AN50" i="27"/>
  <c r="AM48" i="27"/>
  <c r="AM40" i="27" s="1"/>
  <c r="AM60" i="27"/>
  <c r="AM49" i="27" s="1"/>
  <c r="AM41" i="27" s="1"/>
  <c r="AN59" i="27"/>
  <c r="AP7" i="33" l="1"/>
  <c r="AP6" i="33"/>
  <c r="AP5" i="33"/>
  <c r="AP6" i="30"/>
  <c r="AP5" i="30"/>
  <c r="AP4" i="30"/>
  <c r="AP9" i="33"/>
  <c r="AP8" i="30"/>
  <c r="AN42" i="27"/>
  <c r="AQ8" i="33" s="1"/>
  <c r="AP7" i="30"/>
  <c r="AN60" i="27"/>
  <c r="AN49" i="27" s="1"/>
  <c r="AN41" i="27" s="1"/>
  <c r="AO59" i="27"/>
  <c r="AN48" i="27"/>
  <c r="AN40" i="27" s="1"/>
  <c r="AO50" i="27"/>
  <c r="AQ7" i="33" l="1"/>
  <c r="AQ5" i="33"/>
  <c r="AQ6" i="33"/>
  <c r="AQ4" i="30"/>
  <c r="AQ5" i="30"/>
  <c r="AQ6" i="30"/>
  <c r="AO42" i="27"/>
  <c r="AR8" i="33" s="1"/>
  <c r="AQ9" i="33"/>
  <c r="AQ8" i="30"/>
  <c r="AQ7" i="30"/>
  <c r="AP50" i="27"/>
  <c r="AO48" i="27"/>
  <c r="AO40" i="27" s="1"/>
  <c r="AP59" i="27"/>
  <c r="AO60" i="27"/>
  <c r="AO49" i="27" s="1"/>
  <c r="AO41" i="27" s="1"/>
  <c r="AR7" i="33" l="1"/>
  <c r="AR6" i="33"/>
  <c r="AR5" i="33"/>
  <c r="AR5" i="30"/>
  <c r="AR4" i="30"/>
  <c r="AR6" i="30"/>
  <c r="AR9" i="33"/>
  <c r="AR8" i="30"/>
  <c r="AP42" i="27"/>
  <c r="AS8" i="33" s="1"/>
  <c r="AR7" i="30"/>
  <c r="AP60" i="27"/>
  <c r="AP49" i="27" s="1"/>
  <c r="AP41" i="27" s="1"/>
  <c r="AQ59" i="27"/>
  <c r="AP48" i="27"/>
  <c r="AP40" i="27" s="1"/>
  <c r="AQ50" i="27"/>
  <c r="AS5" i="33" l="1"/>
  <c r="AS7" i="33"/>
  <c r="AS6" i="33"/>
  <c r="AS6" i="30"/>
  <c r="AS5" i="30"/>
  <c r="AS4" i="30"/>
  <c r="AQ42" i="27"/>
  <c r="AT8" i="33" s="1"/>
  <c r="AS9" i="33"/>
  <c r="AS8" i="30"/>
  <c r="AS7" i="30"/>
  <c r="AR50" i="27"/>
  <c r="AR59" i="27"/>
  <c r="AQ48" i="27"/>
  <c r="AQ40" i="27" s="1"/>
  <c r="AQ60" i="27"/>
  <c r="AQ49" i="27" s="1"/>
  <c r="AQ41" i="27" s="1"/>
  <c r="AT9" i="33" l="1"/>
  <c r="AT8" i="30"/>
  <c r="AT6" i="33"/>
  <c r="AT5" i="33"/>
  <c r="AT7" i="33"/>
  <c r="AT5" i="30"/>
  <c r="AT4" i="30"/>
  <c r="AT6" i="30"/>
  <c r="AR42" i="27"/>
  <c r="AU8" i="33" s="1"/>
  <c r="AT7" i="30"/>
  <c r="AS59" i="27"/>
  <c r="AR48" i="27"/>
  <c r="AR40" i="27" s="1"/>
  <c r="AR60" i="27"/>
  <c r="AR49" i="27" s="1"/>
  <c r="AR41" i="27" s="1"/>
  <c r="AS50" i="27"/>
  <c r="AS42" i="27" l="1"/>
  <c r="AV8" i="33" s="1"/>
  <c r="AU7" i="33"/>
  <c r="AU6" i="33"/>
  <c r="AU5" i="33"/>
  <c r="AU6" i="30"/>
  <c r="AU4" i="30"/>
  <c r="AU5" i="30"/>
  <c r="AU9" i="33"/>
  <c r="AU8" i="30"/>
  <c r="AU7" i="30"/>
  <c r="AT50" i="27"/>
  <c r="AS48" i="27"/>
  <c r="AS40" i="27" s="1"/>
  <c r="AS60" i="27"/>
  <c r="AS49" i="27" s="1"/>
  <c r="AS41" i="27" s="1"/>
  <c r="AT59" i="27"/>
  <c r="AV6" i="33" l="1"/>
  <c r="AV7" i="33"/>
  <c r="AV5" i="33"/>
  <c r="AV4" i="30"/>
  <c r="AV5" i="30"/>
  <c r="AV6" i="30"/>
  <c r="AV9" i="33"/>
  <c r="AV8" i="30"/>
  <c r="AT42" i="27"/>
  <c r="AW8" i="33" s="1"/>
  <c r="AV7" i="30"/>
  <c r="AU59" i="27"/>
  <c r="AT48" i="27"/>
  <c r="AT40" i="27" s="1"/>
  <c r="AT60" i="27"/>
  <c r="AT49" i="27" s="1"/>
  <c r="AT41" i="27" s="1"/>
  <c r="AU50" i="27"/>
  <c r="AU42" i="27" l="1"/>
  <c r="AX8" i="33" s="1"/>
  <c r="AW7" i="33"/>
  <c r="AW5" i="33"/>
  <c r="AW6" i="33"/>
  <c r="AW4" i="30"/>
  <c r="AW5" i="30"/>
  <c r="AW6" i="30"/>
  <c r="AW9" i="33"/>
  <c r="AW8" i="30"/>
  <c r="AW7" i="30"/>
  <c r="AV50" i="27"/>
  <c r="AU48" i="27"/>
  <c r="AU40" i="27" s="1"/>
  <c r="AU60" i="27"/>
  <c r="AU49" i="27" s="1"/>
  <c r="AU41" i="27" s="1"/>
  <c r="AV59" i="27"/>
  <c r="AV42" i="27" l="1"/>
  <c r="AY8" i="33" s="1"/>
  <c r="AX9" i="33"/>
  <c r="AX8" i="30"/>
  <c r="AX7" i="33"/>
  <c r="AX6" i="33"/>
  <c r="AX5" i="33"/>
  <c r="AX5" i="30"/>
  <c r="AX6" i="30"/>
  <c r="AX4" i="30"/>
  <c r="AX7" i="30"/>
  <c r="AV60" i="27"/>
  <c r="AV49" i="27" s="1"/>
  <c r="AV41" i="27" s="1"/>
  <c r="AW59" i="27"/>
  <c r="AV48" i="27"/>
  <c r="AV40" i="27" s="1"/>
  <c r="AW50" i="27"/>
  <c r="AW42" i="27" l="1"/>
  <c r="AZ8" i="33" s="1"/>
  <c r="AY6" i="33"/>
  <c r="AY5" i="33"/>
  <c r="AY7" i="33"/>
  <c r="AY6" i="30"/>
  <c r="AY4" i="30"/>
  <c r="AY5" i="30"/>
  <c r="AY9" i="33"/>
  <c r="AY8" i="30"/>
  <c r="AY7" i="30"/>
  <c r="AX50" i="27"/>
  <c r="AW48" i="27"/>
  <c r="AW40" i="27" s="1"/>
  <c r="AX59" i="27"/>
  <c r="AW60" i="27"/>
  <c r="AW49" i="27" s="1"/>
  <c r="AW41" i="27" s="1"/>
  <c r="AZ5" i="33" l="1"/>
  <c r="AZ7" i="33"/>
  <c r="AZ6" i="33"/>
  <c r="AZ6" i="30"/>
  <c r="AZ5" i="30"/>
  <c r="AZ4" i="30"/>
  <c r="AZ9" i="33"/>
  <c r="AZ8" i="30"/>
  <c r="AX42" i="27"/>
  <c r="BA8" i="33" s="1"/>
  <c r="AZ7" i="30"/>
  <c r="AX60" i="27"/>
  <c r="AX49" i="27" s="1"/>
  <c r="AX41" i="27" s="1"/>
  <c r="AY59" i="27"/>
  <c r="AX48" i="27"/>
  <c r="AX40" i="27" s="1"/>
  <c r="AY50" i="27"/>
  <c r="BA9" i="33" l="1"/>
  <c r="BA8" i="30"/>
  <c r="AY42" i="27"/>
  <c r="BB8" i="33" s="1"/>
  <c r="BA6" i="33"/>
  <c r="BA7" i="33"/>
  <c r="BA5" i="33"/>
  <c r="BA6" i="30"/>
  <c r="BA4" i="30"/>
  <c r="BA5" i="30"/>
  <c r="BA7" i="30"/>
  <c r="AZ50" i="27"/>
  <c r="AZ59" i="27"/>
  <c r="AY48" i="27"/>
  <c r="AY40" i="27" s="1"/>
  <c r="AY60" i="27"/>
  <c r="AY49" i="27" s="1"/>
  <c r="AY41" i="27" s="1"/>
  <c r="BB9" i="33" l="1"/>
  <c r="BB8" i="30"/>
  <c r="BB5" i="33"/>
  <c r="BB7" i="33"/>
  <c r="BB6" i="33"/>
  <c r="BB6" i="30"/>
  <c r="BB4" i="30"/>
  <c r="BB5" i="30"/>
  <c r="AZ42" i="27"/>
  <c r="BC8" i="33" s="1"/>
  <c r="BB7" i="30"/>
  <c r="BA59" i="27"/>
  <c r="AZ48" i="27"/>
  <c r="AZ40" i="27" s="1"/>
  <c r="AZ60" i="27"/>
  <c r="AZ49" i="27" s="1"/>
  <c r="AZ41" i="27" s="1"/>
  <c r="BA50" i="27"/>
  <c r="BC9" i="33" l="1"/>
  <c r="BC8" i="30"/>
  <c r="BA42" i="27"/>
  <c r="BD8" i="33" s="1"/>
  <c r="BC7" i="33"/>
  <c r="BC6" i="33"/>
  <c r="BC5" i="33"/>
  <c r="BC5" i="30"/>
  <c r="BC4" i="30"/>
  <c r="BC6" i="30"/>
  <c r="BC7" i="30"/>
  <c r="BB50" i="27"/>
  <c r="BA48" i="27"/>
  <c r="BA40" i="27" s="1"/>
  <c r="BA60" i="27"/>
  <c r="BA49" i="27" s="1"/>
  <c r="BA41" i="27" s="1"/>
  <c r="BB59" i="27"/>
  <c r="BD9" i="33" l="1"/>
  <c r="BD8" i="30"/>
  <c r="BB42" i="27"/>
  <c r="BE8" i="33" s="1"/>
  <c r="BD6" i="33"/>
  <c r="BD7" i="33"/>
  <c r="BD5" i="33"/>
  <c r="BD6" i="30"/>
  <c r="BD4" i="30"/>
  <c r="BD5" i="30"/>
  <c r="BD7" i="30"/>
  <c r="BC59" i="27"/>
  <c r="BB48" i="27"/>
  <c r="BB40" i="27" s="1"/>
  <c r="BB60" i="27"/>
  <c r="BB49" i="27" s="1"/>
  <c r="BB41" i="27" s="1"/>
  <c r="BC50" i="27"/>
  <c r="BC42" i="27" l="1"/>
  <c r="BF8" i="33" s="1"/>
  <c r="BE5" i="33"/>
  <c r="BE7" i="33"/>
  <c r="BE6" i="33"/>
  <c r="BE5" i="30"/>
  <c r="BE4" i="30"/>
  <c r="BE6" i="30"/>
  <c r="BE9" i="33"/>
  <c r="BE8" i="30"/>
  <c r="BE7" i="30"/>
  <c r="BD50" i="27"/>
  <c r="BC48" i="27"/>
  <c r="BC40" i="27" s="1"/>
  <c r="BC60" i="27"/>
  <c r="BC49" i="27" s="1"/>
  <c r="BC41" i="27" s="1"/>
  <c r="BD59" i="27"/>
  <c r="BF9" i="33" l="1"/>
  <c r="BF8" i="30"/>
  <c r="BD42" i="27"/>
  <c r="BG8" i="33" s="1"/>
  <c r="BF7" i="33"/>
  <c r="BF6" i="33"/>
  <c r="BF5" i="33"/>
  <c r="BF4" i="30"/>
  <c r="BF6" i="30"/>
  <c r="BF5" i="30"/>
  <c r="BF7" i="30"/>
  <c r="BD60" i="27"/>
  <c r="BD49" i="27" s="1"/>
  <c r="BD41" i="27" s="1"/>
  <c r="BE59" i="27"/>
  <c r="BD48" i="27"/>
  <c r="BD40" i="27" s="1"/>
  <c r="BE50" i="27"/>
  <c r="BE42" i="27" l="1"/>
  <c r="BH8" i="33" s="1"/>
  <c r="BG9" i="33"/>
  <c r="BG8" i="30"/>
  <c r="BG7" i="33"/>
  <c r="BG6" i="33"/>
  <c r="BG5" i="33"/>
  <c r="BG5" i="30"/>
  <c r="BG6" i="30"/>
  <c r="BG4" i="30"/>
  <c r="BG7" i="30"/>
  <c r="BF50" i="27"/>
  <c r="BE48" i="27"/>
  <c r="BE40" i="27" s="1"/>
  <c r="BF59" i="27"/>
  <c r="BE60" i="27"/>
  <c r="BE49" i="27" s="1"/>
  <c r="BE41" i="27" s="1"/>
  <c r="BF42" i="27" l="1"/>
  <c r="BI8" i="33" s="1"/>
  <c r="BH9" i="33"/>
  <c r="BH8" i="30"/>
  <c r="BH7" i="33"/>
  <c r="BH5" i="33"/>
  <c r="BH6" i="33"/>
  <c r="BH5" i="30"/>
  <c r="BH4" i="30"/>
  <c r="BH6" i="30"/>
  <c r="BH7" i="30"/>
  <c r="BF60" i="27"/>
  <c r="BF49" i="27" s="1"/>
  <c r="BF41" i="27" s="1"/>
  <c r="BG59" i="27"/>
  <c r="BF48" i="27"/>
  <c r="BF40" i="27" s="1"/>
  <c r="BG50" i="27"/>
  <c r="BI9" i="33" l="1"/>
  <c r="BI8" i="30"/>
  <c r="BG42" i="27"/>
  <c r="BJ8" i="33" s="1"/>
  <c r="BI7" i="33"/>
  <c r="BI5" i="33"/>
  <c r="BI6" i="33"/>
  <c r="BI4" i="30"/>
  <c r="BI5" i="30"/>
  <c r="BI6" i="30"/>
  <c r="BI7" i="30"/>
  <c r="BH50" i="27"/>
  <c r="BH59" i="27"/>
  <c r="BG48" i="27"/>
  <c r="BG40" i="27" s="1"/>
  <c r="BG60" i="27"/>
  <c r="BG49" i="27" s="1"/>
  <c r="BG41" i="27" s="1"/>
  <c r="BJ9" i="33" l="1"/>
  <c r="BJ8" i="30"/>
  <c r="BJ6" i="33"/>
  <c r="BJ5" i="33"/>
  <c r="BJ7" i="33"/>
  <c r="BJ5" i="30"/>
  <c r="BJ4" i="30"/>
  <c r="BJ6" i="30"/>
  <c r="BH42" i="27"/>
  <c r="BK8" i="33" s="1"/>
  <c r="BJ7" i="30"/>
  <c r="BI59" i="27"/>
  <c r="BH48" i="27"/>
  <c r="BH40" i="27" s="1"/>
  <c r="BH60" i="27"/>
  <c r="BH49" i="27" s="1"/>
  <c r="BH41" i="27" s="1"/>
  <c r="BI50" i="27"/>
  <c r="BI42" i="27" l="1"/>
  <c r="BL8" i="33" s="1"/>
  <c r="BK9" i="33"/>
  <c r="BK8" i="30"/>
  <c r="BK7" i="33"/>
  <c r="BK6" i="33"/>
  <c r="BK5" i="33"/>
  <c r="BK6" i="30"/>
  <c r="BK4" i="30"/>
  <c r="BK5" i="30"/>
  <c r="BK7" i="30"/>
  <c r="BJ50" i="27"/>
  <c r="BI48" i="27"/>
  <c r="BI40" i="27" s="1"/>
  <c r="BI60" i="27"/>
  <c r="BI49" i="27" s="1"/>
  <c r="BI41" i="27" s="1"/>
  <c r="BJ59" i="27"/>
  <c r="BL7" i="33" l="1"/>
  <c r="BL5" i="33"/>
  <c r="BL6" i="33"/>
  <c r="BL4" i="30"/>
  <c r="BL5" i="30"/>
  <c r="BL6" i="30"/>
  <c r="BL9" i="33"/>
  <c r="BL8" i="30"/>
  <c r="BJ42" i="27"/>
  <c r="BM8" i="33" s="1"/>
  <c r="BL7" i="30"/>
  <c r="BK59" i="27"/>
  <c r="BJ48" i="27"/>
  <c r="BJ40" i="27" s="1"/>
  <c r="BJ60" i="27"/>
  <c r="BJ49" i="27" s="1"/>
  <c r="BJ41" i="27" s="1"/>
  <c r="BK50" i="27"/>
  <c r="BM9" i="33" l="1"/>
  <c r="BM8" i="30"/>
  <c r="BK42" i="27"/>
  <c r="BN8" i="33" s="1"/>
  <c r="BM5" i="33"/>
  <c r="BM7" i="33"/>
  <c r="BM6" i="33"/>
  <c r="BM5" i="30"/>
  <c r="BM4" i="30"/>
  <c r="BM6" i="30"/>
  <c r="BM7" i="30"/>
  <c r="BM50" i="27"/>
  <c r="BL50" i="27"/>
  <c r="BK48" i="27"/>
  <c r="BK40" i="27" s="1"/>
  <c r="BK60" i="27"/>
  <c r="BK49" i="27" s="1"/>
  <c r="BK41" i="27" s="1"/>
  <c r="BL59" i="27"/>
  <c r="BN9" i="33" l="1"/>
  <c r="BN8" i="30"/>
  <c r="BL42" i="27"/>
  <c r="BO8" i="33" s="1"/>
  <c r="BN7" i="33"/>
  <c r="BN6" i="33"/>
  <c r="BN5" i="33"/>
  <c r="BN4" i="30"/>
  <c r="BN5" i="30"/>
  <c r="BN6" i="30"/>
  <c r="BM42" i="27"/>
  <c r="BP8" i="33" s="1"/>
  <c r="BN7" i="30"/>
  <c r="BL60" i="27"/>
  <c r="BL49" i="27" s="1"/>
  <c r="BL41" i="27" s="1"/>
  <c r="BM59" i="27"/>
  <c r="BL48" i="27"/>
  <c r="BL40" i="27" s="1"/>
  <c r="BP7" i="30" l="1"/>
  <c r="BO7" i="33"/>
  <c r="BO6" i="33"/>
  <c r="BO5" i="33"/>
  <c r="BO4" i="30"/>
  <c r="BO5" i="30"/>
  <c r="BO6" i="30"/>
  <c r="BO9" i="33"/>
  <c r="BO8" i="30"/>
  <c r="BO7" i="30"/>
  <c r="BM48" i="27"/>
  <c r="BM40" i="27" s="1"/>
  <c r="BM60" i="27"/>
  <c r="BM49" i="27" s="1"/>
  <c r="BM41" i="27" s="1"/>
  <c r="BP6" i="33" l="1"/>
  <c r="BP7" i="33"/>
  <c r="BP5" i="33"/>
  <c r="BP6" i="30"/>
  <c r="BP4" i="30"/>
  <c r="BP5" i="30"/>
  <c r="BP9" i="33"/>
  <c r="BP8" i="30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 satisfied Microsoft Office user</author>
  </authors>
  <commentList>
    <comment ref="BB107" authorId="0" shapeId="0" xr:uid="{00000000-0006-0000-0500-000002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  <comment ref="BB108" authorId="0" shapeId="0" xr:uid="{00000000-0006-0000-0500-000003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  <comment ref="BB113" authorId="0" shapeId="0" xr:uid="{00000000-0006-0000-0500-000004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  <comment ref="BB114" authorId="0" shapeId="0" xr:uid="{00000000-0006-0000-0500-000005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</commentList>
</comments>
</file>

<file path=xl/sharedStrings.xml><?xml version="1.0" encoding="utf-8"?>
<sst xmlns="http://schemas.openxmlformats.org/spreadsheetml/2006/main" count="887" uniqueCount="553">
  <si>
    <t>K</t>
  </si>
  <si>
    <t>Kera</t>
  </si>
  <si>
    <t>\</t>
  </si>
  <si>
    <t>diesel</t>
  </si>
  <si>
    <t>Fuel consumption [m/gallon]</t>
  </si>
  <si>
    <t>weight load [ton]</t>
  </si>
  <si>
    <t>UDDS</t>
  </si>
  <si>
    <t>CSHVR</t>
  </si>
  <si>
    <t>HHDDT</t>
  </si>
  <si>
    <t>FDHDT a</t>
  </si>
  <si>
    <t>FDHDT b</t>
  </si>
  <si>
    <t>Fuel economy [mpg]</t>
  </si>
  <si>
    <t>Baseline</t>
  </si>
  <si>
    <t>2020+</t>
  </si>
  <si>
    <t>2020 WHR</t>
  </si>
  <si>
    <t>long term</t>
  </si>
  <si>
    <t>regional</t>
  </si>
  <si>
    <t>long haul</t>
  </si>
  <si>
    <t>Brazil</t>
  </si>
  <si>
    <t>empty</t>
  </si>
  <si>
    <t>full</t>
  </si>
  <si>
    <t>China</t>
  </si>
  <si>
    <t>EU</t>
  </si>
  <si>
    <t>India</t>
  </si>
  <si>
    <t>US</t>
  </si>
  <si>
    <t>fuel consumption [l/100km]</t>
  </si>
  <si>
    <t>CARb ULSD</t>
  </si>
  <si>
    <t>HVO20</t>
  </si>
  <si>
    <t>HVO50</t>
  </si>
  <si>
    <t>HVO100</t>
  </si>
  <si>
    <t>WCO20</t>
  </si>
  <si>
    <t>Red</t>
  </si>
  <si>
    <t>orange</t>
  </si>
  <si>
    <t>yellow</t>
  </si>
  <si>
    <t>light blue</t>
  </si>
  <si>
    <t>blue</t>
  </si>
  <si>
    <t>dark blue</t>
  </si>
  <si>
    <t xml:space="preserve">green </t>
  </si>
  <si>
    <t>lower value</t>
  </si>
  <si>
    <t>uper value</t>
  </si>
  <si>
    <t>average</t>
  </si>
  <si>
    <t>Fuel efficiency [km/l]</t>
  </si>
  <si>
    <t>Fuel consumption [l/100km]</t>
  </si>
  <si>
    <t>Vehicle weight</t>
  </si>
  <si>
    <t>Straight Truck</t>
  </si>
  <si>
    <t>Fuel economy[mpg]</t>
  </si>
  <si>
    <t>Fleet size</t>
  </si>
  <si>
    <t>21-100</t>
  </si>
  <si>
    <t>101-500</t>
  </si>
  <si>
    <t>501-more</t>
  </si>
  <si>
    <t>1-20</t>
  </si>
  <si>
    <t>Avg</t>
  </si>
  <si>
    <t>EU0</t>
  </si>
  <si>
    <t>EUII</t>
  </si>
  <si>
    <t>EUIII</t>
  </si>
  <si>
    <t>EUIV EGR</t>
  </si>
  <si>
    <t>EUIV SCR</t>
  </si>
  <si>
    <t>EUV EGR</t>
  </si>
  <si>
    <t>EUV SCR</t>
  </si>
  <si>
    <t>EUVI</t>
  </si>
  <si>
    <t>Fuel consumption [kg/km]</t>
  </si>
  <si>
    <t>GT1</t>
  </si>
  <si>
    <t>GT3</t>
  </si>
  <si>
    <t>EURO3</t>
  </si>
  <si>
    <t>EURO5 EGR</t>
  </si>
  <si>
    <t>EURO5 SCR</t>
  </si>
  <si>
    <t>speed [km/h]</t>
  </si>
  <si>
    <t>Speed</t>
  </si>
  <si>
    <t>Fuel consumption [kg/100km]</t>
  </si>
  <si>
    <t>Brazil half</t>
  </si>
  <si>
    <t>China half</t>
  </si>
  <si>
    <t>EU half</t>
  </si>
  <si>
    <t>India half</t>
  </si>
  <si>
    <t>US half</t>
  </si>
  <si>
    <t>@article{cunanan2021review,</t>
  </si>
  <si>
    <t xml:space="preserve">  title={A Review of Heavy-Duty Vehicle Powertrain Technologies: Diesel Engine Vehicles, Battery Electric Vehicles, and Hydrogen Fuel Cell Electric Vehicles},</t>
  </si>
  <si>
    <t xml:space="preserve">  author={Cunanan, Carlo and Tran, Manh-Kien and Lee, Youngwoo and Kwok, Shinghei and Leung, Vincent and Fowler, Michael},</t>
  </si>
  <si>
    <t xml:space="preserve">  journal={Clean Technologies},</t>
  </si>
  <si>
    <t xml:space="preserve">  volume={3},</t>
  </si>
  <si>
    <t xml:space="preserve">  number={2},</t>
  </si>
  <si>
    <t xml:space="preserve">  pages={474--489},</t>
  </si>
  <si>
    <t xml:space="preserve">  year={2021},</t>
  </si>
  <si>
    <t xml:space="preserve">  publisher={Multidisciplinary Digital Publishing Institute}</t>
  </si>
  <si>
    <t>}</t>
  </si>
  <si>
    <t>doi=(10.3390/cleantechnol3020028),</t>
  </si>
  <si>
    <t>@article{daw2013simulated,</t>
  </si>
  <si>
    <t xml:space="preserve">  title={Simulated fuel economy and emissions performance during city and interstate driving for a heavy-duty hybrid truck},</t>
  </si>
  <si>
    <t xml:space="preserve">  author={Daw, C Stuart and Gao, Zhiming and Smith, David E and Laclair, Tim J and Pihl, Josh A and Edwards, K Dean},</t>
  </si>
  <si>
    <t xml:space="preserve">  journal={SAE International Journal of Commercial Vehicles},</t>
  </si>
  <si>
    <t xml:space="preserve">  volume={6},</t>
  </si>
  <si>
    <t xml:space="preserve">  number={2013-01-1033},</t>
  </si>
  <si>
    <t xml:space="preserve">  pages={161--182},</t>
  </si>
  <si>
    <t xml:space="preserve">  year={2013}</t>
  </si>
  <si>
    <t>URL= (https://www.sae.org/publications/technical-papers/content/2013-01-1033/),</t>
  </si>
  <si>
    <t>@inproceedings{dawood2003performance,</t>
  </si>
  <si>
    <t xml:space="preserve">  title={Performance and fuel economy comparative analysis of conventional, hybrid, and fuel cell heavy-duty transit buses},</t>
  </si>
  <si>
    <t xml:space="preserve">  author={Dawood, V and Emadi, A},</t>
  </si>
  <si>
    <t xml:space="preserve">  booktitle={2003 IEEE 58th Vehicular Technology Conference. VTC 2003-Fall (IEEE Cat. No. 03CH37484)},</t>
  </si>
  <si>
    <t xml:space="preserve">  volume={5},</t>
  </si>
  <si>
    <t xml:space="preserve">  pages={3310--3315},</t>
  </si>
  <si>
    <t xml:space="preserve">  year={2003},</t>
  </si>
  <si>
    <t xml:space="preserve">  organization={IEEE}</t>
  </si>
  <si>
    <t>URL = (https://ieeexplore.ieee.org/abstract/document/1286287),</t>
  </si>
  <si>
    <t>@article{delgado2017fuel,</t>
  </si>
  <si>
    <t xml:space="preserve">  title={Fuel efficiency technology in european heavy-duty vehicles: Baseline and potential for the 2020--2030 time frame},</t>
  </si>
  <si>
    <t xml:space="preserve">  author={Delgado, Oscar and Rodr{\'\i}guez, Felipe and Muncrief, Rachel},</t>
  </si>
  <si>
    <t xml:space="preserve">  journal={communications},</t>
  </si>
  <si>
    <t xml:space="preserve">  volume={49},</t>
  </si>
  <si>
    <t xml:space="preserve">  number={30},</t>
  </si>
  <si>
    <t xml:space="preserve">  pages={847129--102},</t>
  </si>
  <si>
    <t xml:space="preserve">  year={2017}</t>
  </si>
  <si>
    <t>URL=(https://theicct.org/sites/default/files/publications/EU-HDV-Tech-Potential_ICCT-white-paper_14072017_vF.pdf),</t>
  </si>
  <si>
    <t xml:space="preserve">  year={2014},</t>
  </si>
  <si>
    <t>@article{delgado2016estimating,</t>
  </si>
  <si>
    <t xml:space="preserve">  title={Estimating the fuel efficiency technology potential of heavy-duty trucks in major markets around the world},</t>
  </si>
  <si>
    <t xml:space="preserve">  author={Delgado, Oscar and Miller, Josh and Sharpe, Ben and Muncrief, Rachel},</t>
  </si>
  <si>
    <t xml:space="preserve">  journal={Working Paper},</t>
  </si>
  <si>
    <t xml:space="preserve">  number={14},</t>
  </si>
  <si>
    <t xml:space="preserve">  year={2016}</t>
  </si>
  <si>
    <t>URL=(http://www.globalfueleconomy.org/media/404893/gfei-wp14.pdf),</t>
  </si>
  <si>
    <t xml:space="preserve">  year={2019},</t>
  </si>
  <si>
    <t>@article{langer2013international,</t>
  </si>
  <si>
    <t xml:space="preserve">  title={International alignment of fuel efficiency standards for heavy-duty vehicles},</t>
  </si>
  <si>
    <t xml:space="preserve">  author={Langer, Therese and Khan, Siddiq},</t>
  </si>
  <si>
    <t xml:space="preserve">  journal={The International Council on Clean Transportation, ICCT},</t>
  </si>
  <si>
    <t>URL=(https://www.aceee.org/sites/default/files/publications/researchreports/t131.pdf),</t>
  </si>
  <si>
    <t>@article{schoettle2016survey,</t>
  </si>
  <si>
    <t xml:space="preserve">  title={A survey of fuel economy and fuel usage by heavy-duty truck fleets},</t>
  </si>
  <si>
    <t xml:space="preserve">  author={Schoettle, Brandon and Sivak, Michael and Tunnell, Michael},</t>
  </si>
  <si>
    <t xml:space="preserve">  journal={No. SWT-2016-12, http://atri-online. org/wpcontent/uploads/2016/10/2016. ATRI-UMTRI. FuelEconomyReport. Final\_. pdf},</t>
  </si>
  <si>
    <t>URL=(https://truckingresearch.org/wp-content/uploads/2016/10/2016.ATRI-UMTRI.FuelEconomyReport.Final_.pdf),</t>
  </si>
  <si>
    <t xml:space="preserve">  publisher={Elsevier}</t>
  </si>
  <si>
    <t>@article{weller2019real,</t>
  </si>
  <si>
    <t xml:space="preserve">  title={Real world fuel consumption and emissions from LDVs and HDVs},</t>
  </si>
  <si>
    <t xml:space="preserve">  author={Weller, Konstantin and Lipp, Silke and R{\"o}ck, Martin and Matzer, Claus and Bittermann, Andreas and Hausberger, Stefan},</t>
  </si>
  <si>
    <t xml:space="preserve">  journal={Frontiers in Mechanical Engineering},</t>
  </si>
  <si>
    <t xml:space="preserve">  pages={45},</t>
  </si>
  <si>
    <t xml:space="preserve">  publisher={Frontiers}</t>
  </si>
  <si>
    <t>URL=(https://internal-journal.frontiersin.org/articles/10.3389/fmech.2019.00045/full),</t>
  </si>
  <si>
    <t>Description</t>
  </si>
  <si>
    <t>petrol</t>
  </si>
  <si>
    <t>1 gallon = 131.9 megajoules – HHV *</t>
  </si>
  <si>
    <t>MJ (HHV)</t>
  </si>
  <si>
    <t>This page produces the time-series exergy conversion efficiencies for road vehicles</t>
  </si>
  <si>
    <t>131.9 megajoules = 0.00315037737652 tons of oil</t>
  </si>
  <si>
    <t>https://theicct.org/sites/default/files/publications/AERO_RR_Technologies_Whitepaper_FINAL_Oct2012.pdf</t>
  </si>
  <si>
    <t>petrol and diesel transport are calcualted separately</t>
  </si>
  <si>
    <r>
      <t>www.extension.iastate.edu/agdm/wholefarm/pdf/c6-87.pdf</t>
    </r>
    <r>
      <rPr>
        <sz val="11"/>
        <color rgb="FF222222"/>
        <rFont val="Arial"/>
        <family val="2"/>
      </rPr>
      <t>‎</t>
    </r>
  </si>
  <si>
    <t>MJ</t>
  </si>
  <si>
    <t>toe</t>
  </si>
  <si>
    <t>truck = 66% losses, so power to wheels / input fuel eta here is 34%</t>
  </si>
  <si>
    <t>car: % power to wheels / input fuel eta here is 16-25%</t>
  </si>
  <si>
    <t>US gallons</t>
  </si>
  <si>
    <t xml:space="preserve">Uk gallons </t>
  </si>
  <si>
    <t>How this page works</t>
  </si>
  <si>
    <t>1 gallon = 146.3 megajoules – HHV *</t>
  </si>
  <si>
    <t>get vehicle miles by mode (car, van, truck, bus, motor cycle)</t>
  </si>
  <si>
    <t>get vehicle fuel consumption by mode (car, van, truck, bus etc)</t>
  </si>
  <si>
    <t>1 toe</t>
  </si>
  <si>
    <t>calculate diesel and petrol mpg 1960+</t>
  </si>
  <si>
    <t>use 1970 car exergy efficiency value as starting point. 10% petrol = 1970. diesel = 12.5% (25% higher)</t>
  </si>
  <si>
    <r>
      <t xml:space="preserve">Convert </t>
    </r>
    <r>
      <rPr>
        <b/>
        <sz val="12"/>
        <color rgb="FF222222"/>
        <rFont val="Arial"/>
        <family val="2"/>
      </rPr>
      <t>US</t>
    </r>
    <r>
      <rPr>
        <sz val="12"/>
        <color rgb="FF222222"/>
        <rFont val="Arial"/>
        <family val="2"/>
      </rPr>
      <t xml:space="preserve"> gallon to </t>
    </r>
    <r>
      <rPr>
        <b/>
        <sz val="12"/>
        <color rgb="FF222222"/>
        <rFont val="Arial"/>
        <family val="2"/>
      </rPr>
      <t>Imperial gallon</t>
    </r>
    <r>
      <rPr>
        <sz val="12"/>
        <color rgb="FF222222"/>
        <rFont val="Arial"/>
        <family val="2"/>
      </rPr>
      <t xml:space="preserve"> (gal to </t>
    </r>
    <r>
      <rPr>
        <b/>
        <sz val="12"/>
        <color rgb="FF222222"/>
        <rFont val="Arial"/>
        <family val="2"/>
      </rPr>
      <t>Imperial gallon</t>
    </r>
    <r>
      <rPr>
        <sz val="12"/>
        <color rgb="FF222222"/>
        <rFont val="Arial"/>
        <family val="2"/>
      </rPr>
      <t xml:space="preserve">) and back. Volume: Imperialgallon=gal×0.83267384. gal=Imperialgallon×1.20095042. Definitions </t>
    </r>
  </si>
  <si>
    <t>use 1970 trucks/bus efficiency = 34% (2010) from ICCT plot. Reistad estimates 25% in 1970</t>
  </si>
  <si>
    <t>The imperial (UK) gallon, defined as exactly 4.54609 litres</t>
  </si>
  <si>
    <t>terminal efficiency for petrol = 35%, diesel cars = 43.75% (35% x 1.25); diesel bus/truck 50%</t>
  </si>
  <si>
    <t>The US gallon, which is equal to 3.785411784 litres</t>
  </si>
  <si>
    <t>All other points using fuel efficiency values mpg and exponential fit to terminal value</t>
  </si>
  <si>
    <t>data sources</t>
  </si>
  <si>
    <t>US Gallon</t>
  </si>
  <si>
    <t xml:space="preserve"> = </t>
  </si>
  <si>
    <t>UK (Imperial) Gallon</t>
  </si>
  <si>
    <t>IEA data</t>
  </si>
  <si>
    <t>1960+ diesel and petrol ktoe consumed</t>
  </si>
  <si>
    <t>TRA 0101</t>
  </si>
  <si>
    <t>1960+ vehicle kms by mode (car, van, truck, bus)</t>
  </si>
  <si>
    <t xml:space="preserve">Thus pro-rata US mpg data by </t>
  </si>
  <si>
    <t>to get into UK equivalent mpg</t>
  </si>
  <si>
    <t>Table C8 ECUK</t>
  </si>
  <si>
    <t>1970+ fuel consumption diesel/petrol by mode (car, van, bus etc)</t>
  </si>
  <si>
    <t>DECC, Energy Consumption in the UK</t>
  </si>
  <si>
    <t xml:space="preserve">https://www.gov.uk/government/publications/energy-consumption-in-the-uk </t>
  </si>
  <si>
    <t>DfT road freight tables</t>
  </si>
  <si>
    <t>1970 car exergy efficiency value</t>
  </si>
  <si>
    <t>Results</t>
  </si>
  <si>
    <t>old/aggregate</t>
  </si>
  <si>
    <t>new by mode</t>
  </si>
  <si>
    <t>gasoline-motorcycles f-u eta efficiency, y = 35(1-e^-0.025x)</t>
  </si>
  <si>
    <t>gasoline-cars/vans f-u eta efficiency, y = 35(1-e^-0.025x)</t>
  </si>
  <si>
    <t>diesel-cars/vans f-u eta efficiency, y = 43.75(1-e^-0.025x)</t>
  </si>
  <si>
    <t>diesel-trucks f-u eta efficiency, y = 50(1-e^-0.13x)</t>
  </si>
  <si>
    <t>diesel-bus f-u eta efficiency, y = 50(1-e^-0.13x)</t>
  </si>
  <si>
    <t>gasoline-motorcycles share of road gasoline use</t>
  </si>
  <si>
    <t>gasoline-cars/vans share of road gasoline use</t>
  </si>
  <si>
    <t>diesel-cars/vans share of road diesel use</t>
  </si>
  <si>
    <t>diesel-trucks share of road diesel use</t>
  </si>
  <si>
    <t>diesel-bus share of road diesel use</t>
  </si>
  <si>
    <t>UK aggregate road vehicle exergy efficiency</t>
  </si>
  <si>
    <t>10% 1970 US Petrol vehcile</t>
  </si>
  <si>
    <t>gasoline-motorcycles fuel economy mpUSg</t>
  </si>
  <si>
    <t>gasoline-cars/vans fuel economy mpUSg</t>
  </si>
  <si>
    <t>diesel-cars/vans fuel economy mpUSg</t>
  </si>
  <si>
    <t>diesel-trucks fuel economy mpUSg</t>
  </si>
  <si>
    <t>diesel-bus fuel economy mpUSg</t>
  </si>
  <si>
    <t>UK petrol fuel economy mpUSg</t>
  </si>
  <si>
    <t>UK diesel fuel economy mpUSg</t>
  </si>
  <si>
    <t>petrol exergy efficiency, y = 35(1-e^-0.025x)</t>
  </si>
  <si>
    <t>diesel exergy efficiency, y = 43.75(1-e^-0.025x)</t>
  </si>
  <si>
    <t>UK average fuel economy mpUSg</t>
  </si>
  <si>
    <t>fuel economy mpg (Uk Gallon)</t>
  </si>
  <si>
    <t>x</t>
  </si>
  <si>
    <t xml:space="preserve"> s/s petrol exergy efficiency y = 10log (0.416mpg) Uk Gallon</t>
  </si>
  <si>
    <t>y1</t>
  </si>
  <si>
    <t xml:space="preserve"> s/s diesel exergy efficiency y = 12.5log (0.416mpg) Uk Gallon</t>
  </si>
  <si>
    <t>y2</t>
  </si>
  <si>
    <t>s/s - diesel exergy efficiency #2 y = 8log (mpgx1.25) Uk Gallon</t>
  </si>
  <si>
    <t xml:space="preserve"> s/s petrol exergy efficiency y = 16.8log (0.1916mpUKg)</t>
  </si>
  <si>
    <t xml:space="preserve"> s/s diesel exergy efficiency y = 21log (0.1916mpUKg)</t>
  </si>
  <si>
    <t>Ayres &amp; warr y = 0.52xmpg (US Gallon)</t>
  </si>
  <si>
    <t>Total Final consumption - IEA data</t>
  </si>
  <si>
    <t>ktoe</t>
  </si>
  <si>
    <t>Motor gasoline</t>
  </si>
  <si>
    <t>Gas/diesel oil</t>
  </si>
  <si>
    <t>Total</t>
  </si>
  <si>
    <t>Mtoe</t>
  </si>
  <si>
    <t>Motor gasoline - IEA data</t>
  </si>
  <si>
    <t>Gas/diesel oil - IEA data</t>
  </si>
  <si>
    <t>Total - IEA data</t>
  </si>
  <si>
    <t>TRA 0101 mileage data (colected Nov 2020 - scroll down)</t>
  </si>
  <si>
    <t>Billion miles</t>
  </si>
  <si>
    <t>Cars and taxis</t>
  </si>
  <si>
    <t>Light vans</t>
  </si>
  <si>
    <t>Goods vehicles</t>
  </si>
  <si>
    <t>Motorcycles</t>
  </si>
  <si>
    <t>Buses &amp; Coaches</t>
  </si>
  <si>
    <t>TRA 010 mileage data</t>
  </si>
  <si>
    <t>Billion kms</t>
  </si>
  <si>
    <t>mpgUK</t>
  </si>
  <si>
    <t>Cars &amp; taxis gasoline - mpgUK</t>
  </si>
  <si>
    <t>Cars &amp; Taxis diesel - mpgUK</t>
  </si>
  <si>
    <t>LDV - Cars and vans gasoline - MpgUK</t>
  </si>
  <si>
    <t>LDV - Cars and vans diesel - MpgUK</t>
  </si>
  <si>
    <t>1mpg</t>
  </si>
  <si>
    <t>1/100km</t>
  </si>
  <si>
    <t>l/100km</t>
  </si>
  <si>
    <t>Cars &amp; taxis gasoline</t>
  </si>
  <si>
    <t>Cars &amp; taxis diesel</t>
  </si>
  <si>
    <t>Light vehicles gasoline</t>
  </si>
  <si>
    <t>Light vehicles diesel</t>
  </si>
  <si>
    <t>LDV - Cars and vans gasoline</t>
  </si>
  <si>
    <t>LDV - Cars and vans diesel</t>
  </si>
  <si>
    <t>HDV Diesel only</t>
  </si>
  <si>
    <t>billion miles - HDVs</t>
  </si>
  <si>
    <t>billion miles - buses + coaches</t>
  </si>
  <si>
    <t>billion miles</t>
  </si>
  <si>
    <t>UK gallon</t>
  </si>
  <si>
    <t>mpg</t>
  </si>
  <si>
    <t>UK Gallons</t>
  </si>
  <si>
    <t>total fuel Mtoe</t>
  </si>
  <si>
    <t>Million Uk Gallons</t>
  </si>
  <si>
    <t>BEIS Energy Consumption in the UK</t>
  </si>
  <si>
    <t>https://www.gov.uk/government/statistics/energy-consumption-in-the-uk</t>
  </si>
  <si>
    <t>Cars &amp; Taxis - petrol Mtoe</t>
  </si>
  <si>
    <t>Cars &amp; Taxis - DERV Mtoe</t>
  </si>
  <si>
    <t>Cars &amp; Taxis - total fuel Mtoe</t>
  </si>
  <si>
    <t>2009/1970</t>
  </si>
  <si>
    <t xml:space="preserve">Cars &amp; Taxis - 1000kms/toe </t>
  </si>
  <si>
    <t>Cars &amp; Taxis - 1000kms/toe (Petrol)</t>
  </si>
  <si>
    <t>Cars &amp; Taxis - 1000kms/toe (DERV)</t>
  </si>
  <si>
    <t>% of total petrol</t>
  </si>
  <si>
    <t>% of total DERV</t>
  </si>
  <si>
    <t>Light vans - petrol Mtoe</t>
  </si>
  <si>
    <t>Light vans - DERV Mtoe</t>
  </si>
  <si>
    <t>Light vans - total fuel Mtoe</t>
  </si>
  <si>
    <t xml:space="preserve">Light vans - 1000kms/toe </t>
  </si>
  <si>
    <t>Light vans - 1000kms/toe (Petrol)</t>
  </si>
  <si>
    <t>Light vans - 1000kms/toe (DERV)</t>
  </si>
  <si>
    <t>Light vehicles gasoline - mpgUK</t>
  </si>
  <si>
    <t>Light vehicles diesel - mpgUK</t>
  </si>
  <si>
    <t>Cars and vans - gasoline Mtoe</t>
  </si>
  <si>
    <t>Cars and vans - DERV Mtoe</t>
  </si>
  <si>
    <t>Cars and vans - total fuel Mtoe</t>
  </si>
  <si>
    <t xml:space="preserve">Cars and vans - 1000kms/toe </t>
  </si>
  <si>
    <t>Cars and vans - 1000kms/toe (Petrol)</t>
  </si>
  <si>
    <t>Cars and vans - 1000kms/toe (DERV)</t>
  </si>
  <si>
    <t>Cars and vans gasoline - mpgUK</t>
  </si>
  <si>
    <t>Cars and vans diesel - mpgUK</t>
  </si>
  <si>
    <t>Goods vehicles - DERV Mtoe</t>
  </si>
  <si>
    <t>Goods vehicles - toe/1000km (total)</t>
  </si>
  <si>
    <t>Goods vehicles - kgoe/100km (total)</t>
  </si>
  <si>
    <t>Goods vehicles - 1000kms/toe (total)</t>
  </si>
  <si>
    <t>Goods vehicles - mpgUK</t>
  </si>
  <si>
    <t>Motorcycles - petrol Mtoe</t>
  </si>
  <si>
    <t>Motorcycles - 1000kms/toe</t>
  </si>
  <si>
    <t>Motorcycles - mpgUK</t>
  </si>
  <si>
    <t>Buses &amp; Coaches - DERV Mtoe</t>
  </si>
  <si>
    <t>Buses &amp; Coaches - 1000kms/toe</t>
  </si>
  <si>
    <t>Buses &amp; coaches - mpgUK</t>
  </si>
  <si>
    <t>IEA data 1960-1969</t>
  </si>
  <si>
    <t>Total Petrol Mtoe</t>
  </si>
  <si>
    <t>Total DERV Mtoe</t>
  </si>
  <si>
    <t>Total fuel Mtoe</t>
  </si>
  <si>
    <t>Total petrol Billion kms</t>
  </si>
  <si>
    <t>Total diesel Billion kms</t>
  </si>
  <si>
    <t>Total Billion kms</t>
  </si>
  <si>
    <t>Total petrol 1000kms/toe (av. of 1971-1975)</t>
  </si>
  <si>
    <t>Total DERV 1000kms/toe (av. Of 1971-1975)</t>
  </si>
  <si>
    <t>Total fuel 1000kms/toe</t>
  </si>
  <si>
    <t>old petrol exergy efficiency superseeded</t>
  </si>
  <si>
    <t>new petrol exergy efficiency superseded</t>
  </si>
  <si>
    <t>old diesel exergy efficiency s/s</t>
  </si>
  <si>
    <t>new diesel exergy efficiency s/s</t>
  </si>
  <si>
    <t>UK road vehicle efficiency based on exp function</t>
  </si>
  <si>
    <t>total petrol mpg (UK Gallon)</t>
  </si>
  <si>
    <t>total diesel mpg (UK Gallon)</t>
  </si>
  <si>
    <t>average vehicle mpg (Uk Gallon)</t>
  </si>
  <si>
    <t>total petrol mpg (US Gallon)</t>
  </si>
  <si>
    <t>US - total petrol mpg (US Gallon)</t>
  </si>
  <si>
    <t>US petrol road vehicles - exergy efficiency</t>
  </si>
  <si>
    <t>Road freight statistics 2009</t>
  </si>
  <si>
    <t>Section 1: The domestic activity of GB-registered heavy goods vehicles, 2009</t>
  </si>
  <si>
    <t>Table 1.1:  Tonne kilometres, tonnes lifted and vehicle kilometres, annual 1989-2009 and quarterly 2004-2009</t>
  </si>
  <si>
    <t>http://tna.europarchive.org/20110503185748/http://www.dft.gov.uk/excel/173025/221412/221522/222944/rfs2009section1.xls#'1.1'!A1.</t>
  </si>
  <si>
    <t>Index (1989=100)</t>
  </si>
  <si>
    <t>Tonne km</t>
  </si>
  <si>
    <t>Tonnes lifted</t>
  </si>
  <si>
    <t>Vehicle km</t>
  </si>
  <si>
    <t>Year</t>
  </si>
  <si>
    <t>(billion)</t>
  </si>
  <si>
    <t>(million)</t>
  </si>
  <si>
    <t>1989</t>
  </si>
  <si>
    <t>1990</t>
  </si>
  <si>
    <t>1991</t>
  </si>
  <si>
    <t>1992</t>
  </si>
  <si>
    <t>1993</t>
  </si>
  <si>
    <t>1994</t>
  </si>
  <si>
    <t>R</t>
  </si>
  <si>
    <t>Department for Transport statistics</t>
  </si>
  <si>
    <t>Traffic (www.gov.uk/government/organisations/department-for-transport/series/road-traffic-statistics)</t>
  </si>
  <si>
    <t>Table TRA0101</t>
  </si>
  <si>
    <t>Road traffic (vehicle miles) by vehicle type in Great Britain, annual from 1949</t>
  </si>
  <si>
    <t>Billion vehicle miles</t>
  </si>
  <si>
    <t>Other Vehicles</t>
  </si>
  <si>
    <t>Cars and Taxis</t>
  </si>
  <si>
    <r>
      <t xml:space="preserve">Light Commercial
Vehicles </t>
    </r>
    <r>
      <rPr>
        <b/>
        <vertAlign val="superscript"/>
        <sz val="10"/>
        <color rgb="FF000000"/>
        <rFont val="Arial"/>
        <family val="2"/>
      </rPr>
      <t>1</t>
    </r>
  </si>
  <si>
    <r>
      <t xml:space="preserve">Heavy Goods Vehicles </t>
    </r>
    <r>
      <rPr>
        <b/>
        <vertAlign val="superscript"/>
        <sz val="10"/>
        <color rgb="FF000000"/>
        <rFont val="Arial"/>
        <family val="2"/>
      </rPr>
      <t>2</t>
    </r>
  </si>
  <si>
    <r>
      <t xml:space="preserve">Total </t>
    </r>
    <r>
      <rPr>
        <b/>
        <vertAlign val="superscript"/>
        <sz val="10"/>
        <color rgb="FF000000"/>
        <rFont val="Arial"/>
        <family val="2"/>
      </rPr>
      <t>3</t>
    </r>
  </si>
  <si>
    <t>All motor vehicles</t>
  </si>
  <si>
    <t>1949</t>
  </si>
  <si>
    <t>1950</t>
  </si>
  <si>
    <t>1951</t>
  </si>
  <si>
    <t>1952</t>
  </si>
  <si>
    <t>1953</t>
  </si>
  <si>
    <t>1954</t>
  </si>
  <si>
    <t>1955</t>
  </si>
  <si>
    <t>1956</t>
  </si>
  <si>
    <t>1957</t>
  </si>
  <si>
    <t>1958</t>
  </si>
  <si>
    <t>1959</t>
  </si>
  <si>
    <t>1960</t>
  </si>
  <si>
    <t>1961</t>
  </si>
  <si>
    <t>1962</t>
  </si>
  <si>
    <t>1963</t>
  </si>
  <si>
    <t>1964</t>
  </si>
  <si>
    <t>1965</t>
  </si>
  <si>
    <t>1966</t>
  </si>
  <si>
    <t>1967</t>
  </si>
  <si>
    <t>1968</t>
  </si>
  <si>
    <t>1969</t>
  </si>
  <si>
    <t>1970</t>
  </si>
  <si>
    <t>1971</t>
  </si>
  <si>
    <t>1972</t>
  </si>
  <si>
    <t>1973</t>
  </si>
  <si>
    <t>1974</t>
  </si>
  <si>
    <t>1975</t>
  </si>
  <si>
    <t>1976</t>
  </si>
  <si>
    <t>1977</t>
  </si>
  <si>
    <t>1978</t>
  </si>
  <si>
    <t>1979</t>
  </si>
  <si>
    <t>1980</t>
  </si>
  <si>
    <t>1981</t>
  </si>
  <si>
    <t>1982</t>
  </si>
  <si>
    <t>1983</t>
  </si>
  <si>
    <t>1984</t>
  </si>
  <si>
    <t>1985</t>
  </si>
  <si>
    <t>1986</t>
  </si>
  <si>
    <t>1987</t>
  </si>
  <si>
    <t>1988</t>
  </si>
  <si>
    <t>1995</t>
  </si>
  <si>
    <t>1996</t>
  </si>
  <si>
    <t>1997</t>
  </si>
  <si>
    <t>1998</t>
  </si>
  <si>
    <t>1999</t>
  </si>
  <si>
    <t>2000</t>
  </si>
  <si>
    <t>2001</t>
  </si>
  <si>
    <t>2002</t>
  </si>
  <si>
    <t>2003</t>
  </si>
  <si>
    <t>2004</t>
  </si>
  <si>
    <t>2005</t>
  </si>
  <si>
    <t xml:space="preserve">2006 </t>
  </si>
  <si>
    <t>2007</t>
  </si>
  <si>
    <t>2008</t>
  </si>
  <si>
    <t>2009</t>
  </si>
  <si>
    <t>1 Not exceeding 3,500 kgs gross vehicle weight, post 1982</t>
  </si>
  <si>
    <t>Source: DfT National Road Traffic Survey</t>
  </si>
  <si>
    <t>2 Over 3,500 kgs gross vehicle weight, post 1982</t>
  </si>
  <si>
    <t>Last updated: September 2020</t>
  </si>
  <si>
    <t>3 Total of all other vehicles (i.e. motorcycles, buses, and coaches)</t>
  </si>
  <si>
    <t>Next update: June 2021</t>
  </si>
  <si>
    <t>4 Data for 1993 onwards are not directly comparable with the figures for 1992 and earlier</t>
  </si>
  <si>
    <t xml:space="preserve">R Estimates for the period since 2010 have been revised to take into account the
</t>
  </si>
  <si>
    <t xml:space="preserve">minor road benchmarking exercise. Further details available at: </t>
  </si>
  <si>
    <t>https://www.gov.uk/government/publications/road-traffic-statistics-minor-road-benchmarking</t>
  </si>
  <si>
    <t>Telephone: 020 7944 3095</t>
  </si>
  <si>
    <t>Email: roadtraff.stats@dft.gov.uk</t>
  </si>
  <si>
    <t>Notes &amp; definitions:</t>
  </si>
  <si>
    <t>https://www.gov.uk/government/publications/road-traffic-statistics-guidance</t>
  </si>
  <si>
    <t>The figures in this table are National Statistics.</t>
  </si>
  <si>
    <t>U.S. Energy Information Administration</t>
  </si>
  <si>
    <t>January 2021 Monthly Energy Review</t>
  </si>
  <si>
    <t xml:space="preserve">1mpgUS = </t>
  </si>
  <si>
    <t>Release Date: January 26, 2021</t>
  </si>
  <si>
    <t>Next Update: February 23, 2021</t>
  </si>
  <si>
    <t>Table 1.8 Motor Vehicle Mileage, Fuel Consumption, and Fuel Economy</t>
  </si>
  <si>
    <t>Light-Duty Vehicles, Short Wheelbase Mileage</t>
  </si>
  <si>
    <t>Light-Duty Vehicles, Short Wheelbase Fuel Consumption</t>
  </si>
  <si>
    <t>Light-Duty Vehicles, Short Wheelbase Fuel Economy</t>
  </si>
  <si>
    <t>Light-Duty Vehicles, Long Wheelbase Mileage</t>
  </si>
  <si>
    <t>Light-Duty Vehicles, Long Wheelbase Fuel Consumption</t>
  </si>
  <si>
    <t>Light-Duty Vehicles, Long Wheelbase Fuel Economy</t>
  </si>
  <si>
    <t>Light-duty vehicles (SWB + LWB)</t>
  </si>
  <si>
    <t>Heavy-Duty Trucks Mileage</t>
  </si>
  <si>
    <t>Heavy-Duty Trucks Fuel Consumption</t>
  </si>
  <si>
    <t>Heavy-Duty Trucks Fuel Economy</t>
  </si>
  <si>
    <t>All Motor Vehicles Mileage</t>
  </si>
  <si>
    <t>All Motor Vehicles Fuel Consumption</t>
  </si>
  <si>
    <t>All Motor Vehicles Fuel Economy</t>
  </si>
  <si>
    <t>(Miles per Vehicle)</t>
  </si>
  <si>
    <t>(Gallons per Vehicle)</t>
  </si>
  <si>
    <t>(Miles per Gallon)</t>
  </si>
  <si>
    <t>Not Available</t>
  </si>
  <si>
    <t>start point</t>
  </si>
  <si>
    <t>0. 0 mpg = 0% efficiency</t>
  </si>
  <si>
    <t>two intermediate points:</t>
  </si>
  <si>
    <t xml:space="preserve">terminal efficiency </t>
  </si>
  <si>
    <t>y3</t>
  </si>
  <si>
    <t>y4</t>
  </si>
  <si>
    <t>y5</t>
  </si>
  <si>
    <t>mpUKg</t>
  </si>
  <si>
    <t>UK</t>
  </si>
  <si>
    <t>USA</t>
  </si>
  <si>
    <t>EU-28</t>
  </si>
  <si>
    <t>gasoline</t>
  </si>
  <si>
    <t>litre</t>
  </si>
  <si>
    <t>kg</t>
  </si>
  <si>
    <t>HDVs diesel - lower bound</t>
  </si>
  <si>
    <t>HDVs diesel - middle bound</t>
  </si>
  <si>
    <t>HDVs diesel - upper bound</t>
  </si>
  <si>
    <t>UK - HDVs - diesel (ECUK) #2</t>
  </si>
  <si>
    <t>US - HDVs - diesel (Table 1.8)</t>
  </si>
  <si>
    <t>UK - HDVs - gasoline (ECUK) #2</t>
  </si>
  <si>
    <t>US - HDVs - gasoline (Table 1.8)</t>
  </si>
  <si>
    <t>Diesel HDV f-u efficiency values for 5 groups</t>
  </si>
  <si>
    <t>take f-u efficiency at 35l/km of 27.5%, based on 1. Holmberg 2014 - HDV efficiency f-u ~ 32% 2. Cunanan 2021 for HDV in 2020, 35l/km = 8mpUKg = 23% f-u efficiency (tank to wheel)</t>
  </si>
  <si>
    <t>use these efficiencies</t>
  </si>
  <si>
    <t>Countries</t>
  </si>
  <si>
    <t xml:space="preserve"> @misc{ECUK2020,</t>
  </si>
  <si>
    <t>author = {{Department for Business, Energy &amp; Industrial Strategy (BEIS)}},</t>
  </si>
  <si>
    <t>institution = {Department for Business, Energy &amp; Industrial Strategy},</t>
  </si>
  <si>
    <t>title = {{Energy Consumption in the UK (ECUK) 2020 Table C8}},</t>
  </si>
  <si>
    <t>url = {https://www.gov.uk/government/statistics/energy-consumption-in-the-uk},</t>
  </si>
  <si>
    <t>year = {2020}</t>
  </si>
  <si>
    <t xml:space="preserve"> @misc{DfT2020,</t>
  </si>
  <si>
    <t>author = {{Department for Transport (DfT)}},</t>
  </si>
  <si>
    <t>institution = {Department for Transport},</t>
  </si>
  <si>
    <t>title = {{Road traffic statistics (TRA) Table TRA 0101}},</t>
  </si>
  <si>
    <t>url = {https://www.gov.uk/government/statistical-data-sets/road-traffic-statistics-tra},</t>
  </si>
  <si>
    <t>@inproceedings{Carnahan1975,</t>
  </si>
  <si>
    <t>author = {Carnahan, W. and Ford, K. W. and Prosperetti, A. and Rochlin, G. I. and Rosenfeld, A. and Ross, M. and Rothberg, J. and Seidel, G. and Socolow, R. (Eds)},</t>
  </si>
  <si>
    <t>booktitle = {American Institute of Physics, Conference Series, Vol. 25},</t>
  </si>
  <si>
    <t>doi = {10.1063/1.30310},</t>
  </si>
  <si>
    <t>pages = {99--120},</t>
  </si>
  <si>
    <t>title = {{Technical Aspects of the More Efficient Utilization of Energy: Chapter 4 - The automobile}},</t>
  </si>
  <si>
    <t>year = {1975}</t>
  </si>
  <si>
    <t xml:space="preserve"> @misc{EIAroadmileage2021,</t>
  </si>
  <si>
    <t>url = {https://www.eia.gov/totalenergy/data/monthly/pdf/sec1_21.pdf},</t>
  </si>
  <si>
    <t>year = {2021}</t>
  </si>
  <si>
    <t>title = {{Table 1.8 Motor Vehicle Mileage, Fuel Consumption, and Fuel Economy, 1949-2019}},</t>
  </si>
  <si>
    <t>institution = {US Energy Information Administration},</t>
  </si>
  <si>
    <t>author = {{US Energy Information Administration (EIA)}},</t>
  </si>
  <si>
    <t>Delgado 2016</t>
  </si>
  <si>
    <t>@article{sharpe2015literature,</t>
  </si>
  <si>
    <t xml:space="preserve">  title={Literature review: real-world fuel consumption of heavy-duty vehicles in the United States, China, and the European Union},</t>
  </si>
  <si>
    <t xml:space="preserve">  author={Sharpe, BEN and Muncrief, Rachel},</t>
  </si>
  <si>
    <t xml:space="preserve">  journal={International Council on Clean Transportation, Washington DC},</t>
  </si>
  <si>
    <t xml:space="preserve">  year={2015}</t>
  </si>
  <si>
    <t xml:space="preserve">  url = {https://theicct.org/sites/default/files/publications/ICCT_HDV_FC_lit-review_20150209.pdf},</t>
  </si>
  <si>
    <t>China#2</t>
  </si>
  <si>
    <t>Country</t>
  </si>
  <si>
    <t>Energy.type</t>
  </si>
  <si>
    <t>Last.stage</t>
  </si>
  <si>
    <t>Method</t>
  </si>
  <si>
    <t>Machine</t>
  </si>
  <si>
    <t>Eu.product</t>
  </si>
  <si>
    <t>Quantity</t>
  </si>
  <si>
    <t>lower bound</t>
  </si>
  <si>
    <t>upper bound</t>
  </si>
  <si>
    <t>langer 2013</t>
  </si>
  <si>
    <t>@article{holmberg2014global,</t>
  </si>
  <si>
    <t xml:space="preserve">  title={Global energy consumption due to friction in trucks and buses},</t>
  </si>
  <si>
    <t xml:space="preserve">  author={Holmberg, Kenneth and Andersson, Peter and Nylund, Nils-Olof and M{\"a}kel{\"a}, Kari and Erdemir, Ali},</t>
  </si>
  <si>
    <t xml:space="preserve">  journal={Tribology International},</t>
  </si>
  <si>
    <t xml:space="preserve">  volume={78},</t>
  </si>
  <si>
    <t xml:space="preserve">  pages={94--114},</t>
  </si>
  <si>
    <t xml:space="preserve">  doi = {10.1016/j.triboint.2014.05.004},</t>
  </si>
  <si>
    <t>@article{smallbone2020impact,</t>
  </si>
  <si>
    <t xml:space="preserve">  title={The impact of disruptive powertrain technologies on energy consumption and carbon dioxide emissions from heavy-duty vehicles},</t>
  </si>
  <si>
    <t xml:space="preserve">  author={Smallbone, Andrew and Jia, Boru and Atkins, Penny and Roskilly, Anthony Paul},</t>
  </si>
  <si>
    <t xml:space="preserve">  journal={Energy Conversion and Management: X},</t>
  </si>
  <si>
    <t xml:space="preserve">  pages={100030},</t>
  </si>
  <si>
    <t xml:space="preserve">  year={2020},</t>
  </si>
  <si>
    <t xml:space="preserve">  doi = {10.1016/j.ecmx.2020.100030},</t>
  </si>
  <si>
    <t>@article{rodriguez2018fuel,</t>
  </si>
  <si>
    <t xml:space="preserve">  title={Fuel consumption testing of tractortrailers in the European Union and the United States},</t>
  </si>
  <si>
    <t xml:space="preserve">  author={Rodr{\'\i}guez, Felipe and Delgado, OSCAR and Muncrief, RACHEL},</t>
  </si>
  <si>
    <t xml:space="preserve">  year={2018}</t>
  </si>
  <si>
    <t xml:space="preserve">  url = {https://theicct.org/sites/default/files/publications/EU_HDV_Testing_BriefingPaper_20180515a.pdf},</t>
  </si>
  <si>
    <t>CHN</t>
  </si>
  <si>
    <t>IND</t>
  </si>
  <si>
    <t>JPN</t>
  </si>
  <si>
    <t>EUR</t>
  </si>
  <si>
    <t>Diesel HDVs</t>
  </si>
  <si>
    <t>eta.fu</t>
  </si>
  <si>
    <t>WLD</t>
  </si>
  <si>
    <t>E</t>
  </si>
  <si>
    <t>Final</t>
  </si>
  <si>
    <t>PCM</t>
  </si>
  <si>
    <t>GBR</t>
  </si>
  <si>
    <t>Date: 20/08/2021</t>
  </si>
  <si>
    <t>RoP</t>
  </si>
  <si>
    <t xml:space="preserve">3. for petrol = 35%, diesel cars = 43.75% (35% x 1.25); diesel bus/truck 45% </t>
  </si>
  <si>
    <t>diesel HDV exergy efficiency, y = 45(1-e^-0.025x)</t>
  </si>
  <si>
    <t>diesel HDV exergy efficiency, y = 45(1-e^-0.05x)</t>
  </si>
  <si>
    <t>diesel HDV exergy efficiency, y = 45(1-e^-0.075x)</t>
  </si>
  <si>
    <t>diesel HDV exergy efficiency, y = 45(1-e^-0.1x)</t>
  </si>
  <si>
    <t>diesel exergy efficiency, y = 45(1-e^-0.11x)</t>
  </si>
  <si>
    <t>diesel exergy efficiency, y = 45(1-e^-0.12x)</t>
  </si>
  <si>
    <t xml:space="preserve"> -0.0098x^2 + 0.7179x + 14.486</t>
  </si>
  <si>
    <r>
      <t>y = 0.00021x</t>
    </r>
    <r>
      <rPr>
        <vertAlign val="superscript"/>
        <sz val="10"/>
        <color rgb="FF595959"/>
        <rFont val="Calibri"/>
        <family val="2"/>
        <scheme val="minor"/>
      </rPr>
      <t>3</t>
    </r>
    <r>
      <rPr>
        <sz val="10"/>
        <color rgb="FF595959"/>
        <rFont val="Calibri"/>
        <family val="2"/>
        <scheme val="minor"/>
      </rPr>
      <t xml:space="preserve"> - 0.0287x</t>
    </r>
    <r>
      <rPr>
        <vertAlign val="superscript"/>
        <sz val="10"/>
        <color rgb="FF595959"/>
        <rFont val="Calibri"/>
        <family val="2"/>
        <scheme val="minor"/>
      </rPr>
      <t>2</t>
    </r>
    <r>
      <rPr>
        <sz val="10"/>
        <color rgb="FF595959"/>
        <rFont val="Calibri"/>
        <family val="2"/>
        <scheme val="minor"/>
      </rPr>
      <t xml:space="preserve"> + 1.1851x + 12.114</t>
    </r>
  </si>
  <si>
    <t>middle bound = WLD</t>
  </si>
  <si>
    <t>I have changed these data poitns a bit now, and also for WLD = mid fuel economy not USA</t>
  </si>
  <si>
    <t>PB comments</t>
  </si>
  <si>
    <t>WRLD</t>
  </si>
  <si>
    <t>CHNM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</si>
</sst>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64" formatCode="0.000"/>
    <numFmt numFmtId="165" formatCode="General_)"/>
    <numFmt numFmtId="166" formatCode="0.0"/>
    <numFmt numFmtId="167" formatCode="0.0%"/>
    <numFmt numFmtId="168" formatCode="#,##0.0"/>
    <numFmt numFmtId="169" formatCode="0.0000"/>
    <numFmt numFmtId="170" formatCode="[&gt;0.5]#,##0;[&lt;-0.5]&quot;-&quot;#,##0;&quot;-&quot;"/>
    <numFmt numFmtId="171" formatCode="0&quot; &quot;"/>
  </numFmts>
  <fonts count="56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i/>
      <sz val="11"/>
      <color rgb="FF222222"/>
      <name val="Arial"/>
      <family val="2"/>
    </font>
    <font>
      <sz val="11"/>
      <color rgb="FF222222"/>
      <name val="Arial"/>
      <family val="2"/>
    </font>
    <font>
      <sz val="12"/>
      <color rgb="FF222222"/>
      <name val="Arial"/>
      <family val="2"/>
    </font>
    <font>
      <b/>
      <sz val="12"/>
      <color rgb="FF222222"/>
      <name val="Arial"/>
      <family val="2"/>
    </font>
    <font>
      <b/>
      <sz val="11"/>
      <color theme="1"/>
      <name val="Calibri"/>
      <family val="2"/>
      <scheme val="minor"/>
    </font>
    <font>
      <u/>
      <sz val="8.1999999999999993"/>
      <color indexed="12"/>
      <name val="Times New Roman"/>
      <family val="1"/>
    </font>
    <font>
      <u/>
      <sz val="12"/>
      <color indexed="12"/>
      <name val="Times New Roman"/>
      <family val="1"/>
    </font>
    <font>
      <sz val="10"/>
      <name val="Tms Rmn"/>
    </font>
    <font>
      <b/>
      <sz val="12"/>
      <name val="Arial"/>
      <family val="2"/>
    </font>
    <font>
      <u/>
      <sz val="11"/>
      <color indexed="12"/>
      <name val="Arial"/>
      <family val="2"/>
    </font>
    <font>
      <b/>
      <i/>
      <sz val="10"/>
      <name val="Arial"/>
      <family val="2"/>
    </font>
    <font>
      <sz val="8"/>
      <name val="Arial"/>
      <family val="2"/>
    </font>
    <font>
      <sz val="10"/>
      <name val="Times New Roman"/>
      <family val="1"/>
    </font>
    <font>
      <u/>
      <sz val="11"/>
      <color theme="10"/>
      <name val="Calibri"/>
      <family val="2"/>
      <scheme val="minor"/>
    </font>
    <font>
      <i/>
      <sz val="10"/>
      <name val="Arial"/>
      <family val="2"/>
    </font>
    <font>
      <vertAlign val="superscript"/>
      <sz val="10"/>
      <name val="Arial"/>
      <family val="2"/>
    </font>
    <font>
      <vertAlign val="superscript"/>
      <sz val="8"/>
      <name val="Arial"/>
      <family val="2"/>
    </font>
    <font>
      <sz val="10"/>
      <color rgb="FF000000"/>
      <name val="Arial"/>
      <family val="2"/>
    </font>
    <font>
      <b/>
      <sz val="12"/>
      <color rgb="FF000000"/>
      <name val="Arial"/>
      <family val="2"/>
    </font>
    <font>
      <sz val="12"/>
      <color rgb="FF000000"/>
      <name val="Arial"/>
      <family val="2"/>
    </font>
    <font>
      <u/>
      <sz val="8"/>
      <color rgb="FF0000FF"/>
      <name val="Times New Roman"/>
      <family val="1"/>
    </font>
    <font>
      <u/>
      <sz val="10"/>
      <color rgb="FF0000FF"/>
      <name val="Arial"/>
      <family val="2"/>
    </font>
    <font>
      <b/>
      <sz val="12"/>
      <color rgb="FF008080"/>
      <name val="Arial"/>
      <family val="2"/>
    </font>
    <font>
      <sz val="14"/>
      <color rgb="FF000000"/>
      <name val="Arial"/>
      <family val="2"/>
    </font>
    <font>
      <sz val="8"/>
      <color rgb="FF000000"/>
      <name val="Arial"/>
      <family val="2"/>
    </font>
    <font>
      <b/>
      <sz val="10"/>
      <color rgb="FF000000"/>
      <name val="Arial"/>
      <family val="2"/>
    </font>
    <font>
      <b/>
      <vertAlign val="superscript"/>
      <sz val="10"/>
      <color rgb="FF000000"/>
      <name val="Arial"/>
      <family val="2"/>
    </font>
    <font>
      <sz val="10"/>
      <color rgb="FF000000"/>
      <name val="Times New Roman"/>
      <family val="1"/>
    </font>
    <font>
      <sz val="10"/>
      <color rgb="FF000000"/>
      <name val="Tms Rmn"/>
    </font>
    <font>
      <b/>
      <vertAlign val="superscript"/>
      <sz val="12"/>
      <color rgb="FF000000"/>
      <name val="Arial"/>
      <family val="2"/>
    </font>
    <font>
      <b/>
      <vertAlign val="superscript"/>
      <sz val="11"/>
      <color rgb="FF000000"/>
      <name val="Arial"/>
      <family val="2"/>
    </font>
    <font>
      <i/>
      <sz val="10"/>
      <color rgb="FF000000"/>
      <name val="Arial"/>
      <family val="2"/>
    </font>
    <font>
      <b/>
      <sz val="10"/>
      <color rgb="FFFF0000"/>
      <name val="Arial"/>
      <family val="2"/>
    </font>
    <font>
      <b/>
      <sz val="15"/>
      <color indexed="56"/>
      <name val="Calibri"/>
      <family val="2"/>
    </font>
    <font>
      <sz val="11"/>
      <color rgb="FF000000"/>
      <name val="Calibri"/>
      <family val="2"/>
    </font>
    <font>
      <b/>
      <sz val="14"/>
      <color rgb="FF000000"/>
      <name val="Calibri"/>
      <family val="2"/>
    </font>
    <font>
      <i/>
      <sz val="14"/>
      <color rgb="FF000000"/>
      <name val="Calibri"/>
      <family val="2"/>
    </font>
    <font>
      <b/>
      <u/>
      <sz val="10"/>
      <color rgb="FF0000FF"/>
      <name val="Calibri"/>
      <family val="2"/>
    </font>
    <font>
      <b/>
      <sz val="12"/>
      <color rgb="FF000000"/>
      <name val="Calibri"/>
      <family val="2"/>
    </font>
    <font>
      <b/>
      <sz val="10"/>
      <color rgb="FF000000"/>
      <name val="Calibri"/>
      <family val="2"/>
    </font>
    <font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2"/>
      <name val="Arial"/>
      <family val="2"/>
    </font>
    <font>
      <b/>
      <sz val="12"/>
      <color rgb="FF0070C0"/>
      <name val="Arial"/>
      <family val="2"/>
    </font>
    <font>
      <b/>
      <sz val="11"/>
      <name val="Calibri"/>
      <family val="2"/>
      <scheme val="minor"/>
    </font>
    <font>
      <sz val="10"/>
      <color rgb="FF595959"/>
      <name val="Calibri"/>
      <family val="2"/>
      <scheme val="minor"/>
    </font>
    <font>
      <vertAlign val="superscript"/>
      <sz val="10"/>
      <color rgb="FF595959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theme="9"/>
      <name val="Calibri"/>
      <family val="2"/>
      <scheme val="minor"/>
    </font>
  </fonts>
  <fills count="20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indexed="9"/>
        <bgColor indexed="9"/>
      </patternFill>
    </fill>
    <fill>
      <patternFill patternType="solid">
        <fgColor indexed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rgb="FFFFFFFF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39997558519241921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/>
      <bottom style="dashed">
        <color indexed="64"/>
      </bottom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/>
      <top/>
      <bottom style="dashed">
        <color rgb="FF000000"/>
      </bottom>
      <diagonal/>
    </border>
  </borders>
  <cellStyleXfs count="20">
    <xf numFmtId="0" fontId="0" fillId="0" borderId="0"/>
    <xf numFmtId="0" fontId="3" fillId="0" borderId="0"/>
    <xf numFmtId="0" fontId="5" fillId="0" borderId="0"/>
    <xf numFmtId="0" fontId="3" fillId="0" borderId="0"/>
    <xf numFmtId="0" fontId="5" fillId="0" borderId="0"/>
    <xf numFmtId="0" fontId="12" fillId="0" borderId="0" applyNumberFormat="0" applyFill="0" applyBorder="0" applyAlignment="0" applyProtection="0">
      <alignment vertical="top"/>
      <protection locked="0"/>
    </xf>
    <xf numFmtId="165" fontId="14" fillId="0" borderId="0"/>
    <xf numFmtId="9" fontId="5" fillId="0" borderId="0" applyFont="0" applyFill="0" applyBorder="0" applyAlignment="0" applyProtection="0"/>
    <xf numFmtId="9" fontId="3" fillId="0" borderId="0" applyFont="0" applyFill="0" applyBorder="0" applyAlignment="0" applyProtection="0"/>
    <xf numFmtId="0" fontId="18" fillId="0" borderId="0"/>
    <xf numFmtId="168" fontId="19" fillId="0" borderId="0"/>
    <xf numFmtId="0" fontId="20" fillId="0" borderId="0" applyNumberFormat="0" applyFill="0" applyBorder="0" applyAlignment="0" applyProtection="0"/>
    <xf numFmtId="0" fontId="2" fillId="0" borderId="0"/>
    <xf numFmtId="0" fontId="24" fillId="0" borderId="0" applyNumberFormat="0" applyBorder="0" applyProtection="0"/>
    <xf numFmtId="0" fontId="27" fillId="0" borderId="0" applyNumberFormat="0" applyFill="0" applyBorder="0" applyAlignment="0" applyProtection="0"/>
    <xf numFmtId="170" fontId="30" fillId="0" borderId="0" applyBorder="0" applyProtection="0">
      <alignment horizontal="left" vertical="center"/>
    </xf>
    <xf numFmtId="168" fontId="34" fillId="0" borderId="0" applyBorder="0" applyProtection="0"/>
    <xf numFmtId="0" fontId="35" fillId="0" borderId="0" applyNumberFormat="0" applyBorder="0" applyProtection="0"/>
    <xf numFmtId="0" fontId="41" fillId="0" borderId="0"/>
    <xf numFmtId="0" fontId="49" fillId="0" borderId="0"/>
  </cellStyleXfs>
  <cellXfs count="252"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quotePrefix="1" applyNumberFormat="1" applyBorder="1"/>
    <xf numFmtId="0" fontId="4" fillId="0" borderId="0" xfId="1" applyFont="1"/>
    <xf numFmtId="0" fontId="5" fillId="0" borderId="0" xfId="2"/>
    <xf numFmtId="0" fontId="5" fillId="2" borderId="0" xfId="2" applyFont="1" applyFill="1"/>
    <xf numFmtId="0" fontId="3" fillId="0" borderId="0" xfId="1" applyFont="1"/>
    <xf numFmtId="0" fontId="6" fillId="2" borderId="0" xfId="3" applyFont="1" applyFill="1"/>
    <xf numFmtId="0" fontId="5" fillId="0" borderId="0" xfId="4"/>
    <xf numFmtId="0" fontId="7" fillId="2" borderId="0" xfId="3" applyFont="1" applyFill="1" applyAlignment="1">
      <alignment vertical="center"/>
    </xf>
    <xf numFmtId="0" fontId="3" fillId="0" borderId="0" xfId="3" applyFont="1"/>
    <xf numFmtId="0" fontId="5" fillId="0" borderId="0" xfId="4" applyFont="1"/>
    <xf numFmtId="0" fontId="5" fillId="0" borderId="0" xfId="2" applyFont="1"/>
    <xf numFmtId="0" fontId="3" fillId="0" borderId="0" xfId="1" applyFont="1" applyFill="1"/>
    <xf numFmtId="0" fontId="3" fillId="0" borderId="0" xfId="3"/>
    <xf numFmtId="0" fontId="9" fillId="3" borderId="0" xfId="3" applyFont="1" applyFill="1"/>
    <xf numFmtId="0" fontId="5" fillId="3" borderId="0" xfId="2" applyFill="1"/>
    <xf numFmtId="0" fontId="11" fillId="0" borderId="0" xfId="2" applyFont="1"/>
    <xf numFmtId="164" fontId="5" fillId="0" borderId="0" xfId="2" applyNumberFormat="1"/>
    <xf numFmtId="0" fontId="5" fillId="0" borderId="2" xfId="2" applyBorder="1"/>
    <xf numFmtId="0" fontId="5" fillId="0" borderId="0" xfId="2" applyFont="1" applyFill="1"/>
    <xf numFmtId="0" fontId="13" fillId="0" borderId="0" xfId="5" applyFont="1" applyAlignment="1" applyProtection="1"/>
    <xf numFmtId="0" fontId="16" fillId="0" borderId="0" xfId="5" applyFont="1" applyAlignment="1" applyProtection="1"/>
    <xf numFmtId="165" fontId="4" fillId="0" borderId="3" xfId="6" applyFont="1" applyBorder="1" applyAlignment="1">
      <alignment vertical="center"/>
    </xf>
    <xf numFmtId="3" fontId="4" fillId="0" borderId="3" xfId="6" applyNumberFormat="1" applyFont="1" applyBorder="1" applyAlignment="1">
      <alignment vertical="center"/>
    </xf>
    <xf numFmtId="166" fontId="4" fillId="0" borderId="3" xfId="6" applyNumberFormat="1" applyFont="1" applyBorder="1" applyAlignment="1">
      <alignment vertical="center"/>
    </xf>
    <xf numFmtId="166" fontId="17" fillId="0" borderId="3" xfId="6" applyNumberFormat="1" applyFont="1" applyBorder="1" applyAlignment="1">
      <alignment horizontal="right" vertical="center"/>
    </xf>
    <xf numFmtId="165" fontId="4" fillId="0" borderId="0" xfId="6" applyFont="1" applyBorder="1" applyAlignment="1">
      <alignment vertical="center"/>
    </xf>
    <xf numFmtId="3" fontId="4" fillId="0" borderId="0" xfId="6" applyNumberFormat="1" applyFont="1" applyBorder="1" applyAlignment="1">
      <alignment vertical="center"/>
    </xf>
    <xf numFmtId="166" fontId="4" fillId="0" borderId="0" xfId="6" applyNumberFormat="1" applyFont="1" applyBorder="1" applyAlignment="1">
      <alignment vertical="center"/>
    </xf>
    <xf numFmtId="166" fontId="17" fillId="0" borderId="0" xfId="6" applyNumberFormat="1" applyFont="1" applyBorder="1" applyAlignment="1">
      <alignment horizontal="right" vertical="center"/>
    </xf>
    <xf numFmtId="0" fontId="11" fillId="0" borderId="2" xfId="2" applyFont="1" applyBorder="1"/>
    <xf numFmtId="0" fontId="5" fillId="0" borderId="0" xfId="2" applyFont="1" applyAlignment="1">
      <alignment horizontal="right"/>
    </xf>
    <xf numFmtId="10" fontId="0" fillId="0" borderId="0" xfId="7" applyNumberFormat="1" applyFont="1"/>
    <xf numFmtId="10" fontId="0" fillId="3" borderId="0" xfId="7" applyNumberFormat="1" applyFont="1" applyFill="1"/>
    <xf numFmtId="0" fontId="5" fillId="4" borderId="0" xfId="2" applyFill="1"/>
    <xf numFmtId="0" fontId="5" fillId="4" borderId="0" xfId="2" applyFont="1" applyFill="1" applyAlignment="1">
      <alignment horizontal="right"/>
    </xf>
    <xf numFmtId="0" fontId="5" fillId="4" borderId="0" xfId="4" applyFont="1" applyFill="1" applyAlignment="1">
      <alignment horizontal="right"/>
    </xf>
    <xf numFmtId="10" fontId="5" fillId="4" borderId="0" xfId="8" applyNumberFormat="1" applyFont="1" applyFill="1"/>
    <xf numFmtId="0" fontId="5" fillId="4" borderId="2" xfId="2" applyFill="1" applyBorder="1"/>
    <xf numFmtId="10" fontId="5" fillId="5" borderId="0" xfId="8" applyNumberFormat="1" applyFont="1" applyFill="1"/>
    <xf numFmtId="0" fontId="5" fillId="4" borderId="0" xfId="2" applyFont="1" applyFill="1"/>
    <xf numFmtId="164" fontId="5" fillId="4" borderId="0" xfId="8" applyNumberFormat="1" applyFont="1" applyFill="1"/>
    <xf numFmtId="164" fontId="5" fillId="6" borderId="2" xfId="8" applyNumberFormat="1" applyFont="1" applyFill="1" applyBorder="1"/>
    <xf numFmtId="167" fontId="5" fillId="0" borderId="0" xfId="8" applyNumberFormat="1" applyFont="1"/>
    <xf numFmtId="0" fontId="5" fillId="5" borderId="0" xfId="2" applyFont="1" applyFill="1"/>
    <xf numFmtId="2" fontId="5" fillId="0" borderId="0" xfId="2" applyNumberFormat="1"/>
    <xf numFmtId="0" fontId="3" fillId="0" borderId="0" xfId="3" applyAlignment="1">
      <alignment horizontal="right"/>
    </xf>
    <xf numFmtId="10" fontId="5" fillId="0" borderId="0" xfId="8" applyNumberFormat="1" applyFont="1"/>
    <xf numFmtId="2" fontId="5" fillId="0" borderId="0" xfId="8" applyNumberFormat="1" applyFont="1"/>
    <xf numFmtId="167" fontId="5" fillId="5" borderId="0" xfId="8" applyNumberFormat="1" applyFont="1" applyFill="1"/>
    <xf numFmtId="167" fontId="5" fillId="3" borderId="0" xfId="8" applyNumberFormat="1" applyFont="1" applyFill="1"/>
    <xf numFmtId="0" fontId="5" fillId="0" borderId="0" xfId="2" applyFill="1"/>
    <xf numFmtId="167" fontId="5" fillId="0" borderId="0" xfId="8" applyNumberFormat="1" applyFont="1" applyFill="1"/>
    <xf numFmtId="0" fontId="18" fillId="0" borderId="0" xfId="9"/>
    <xf numFmtId="3" fontId="18" fillId="0" borderId="0" xfId="9" applyNumberFormat="1"/>
    <xf numFmtId="3" fontId="5" fillId="0" borderId="0" xfId="2" applyNumberFormat="1"/>
    <xf numFmtId="3" fontId="5" fillId="3" borderId="0" xfId="2" applyNumberFormat="1" applyFill="1"/>
    <xf numFmtId="0" fontId="18" fillId="0" borderId="0" xfId="9" applyFill="1"/>
    <xf numFmtId="4" fontId="18" fillId="0" borderId="0" xfId="9" applyNumberFormat="1"/>
    <xf numFmtId="4" fontId="18" fillId="3" borderId="0" xfId="9" applyNumberFormat="1" applyFill="1"/>
    <xf numFmtId="4" fontId="5" fillId="0" borderId="0" xfId="2" applyNumberFormat="1"/>
    <xf numFmtId="4" fontId="5" fillId="3" borderId="0" xfId="2" applyNumberFormat="1" applyFill="1"/>
    <xf numFmtId="0" fontId="3" fillId="7" borderId="0" xfId="9" applyFont="1" applyFill="1" applyBorder="1" applyAlignment="1">
      <alignment horizontal="right" wrapText="1"/>
    </xf>
    <xf numFmtId="166" fontId="3" fillId="8" borderId="0" xfId="10" applyNumberFormat="1" applyFont="1" applyFill="1" applyAlignment="1">
      <alignment horizontal="right"/>
    </xf>
    <xf numFmtId="166" fontId="3" fillId="8" borderId="4" xfId="10" applyNumberFormat="1" applyFont="1" applyFill="1" applyBorder="1" applyAlignment="1">
      <alignment horizontal="right"/>
    </xf>
    <xf numFmtId="166" fontId="3" fillId="3" borderId="0" xfId="10" applyNumberFormat="1" applyFont="1" applyFill="1" applyAlignment="1">
      <alignment horizontal="right"/>
    </xf>
    <xf numFmtId="0" fontId="3" fillId="7" borderId="0" xfId="9" applyFont="1" applyFill="1" applyBorder="1" applyAlignment="1" applyProtection="1">
      <alignment horizontal="right" wrapText="1"/>
    </xf>
    <xf numFmtId="0" fontId="3" fillId="0" borderId="0" xfId="9" applyFont="1" applyBorder="1" applyAlignment="1">
      <alignment horizontal="right" wrapText="1"/>
    </xf>
    <xf numFmtId="0" fontId="4" fillId="7" borderId="0" xfId="9" applyFont="1" applyFill="1" applyBorder="1" applyAlignment="1" applyProtection="1">
      <alignment horizontal="right" wrapText="1"/>
    </xf>
    <xf numFmtId="166" fontId="11" fillId="0" borderId="0" xfId="2" applyNumberFormat="1" applyFont="1"/>
    <xf numFmtId="166" fontId="11" fillId="0" borderId="2" xfId="2" applyNumberFormat="1" applyFont="1" applyBorder="1"/>
    <xf numFmtId="0" fontId="11" fillId="0" borderId="2" xfId="2" applyFont="1" applyFill="1" applyBorder="1"/>
    <xf numFmtId="166" fontId="3" fillId="0" borderId="2" xfId="10" applyNumberFormat="1" applyFont="1" applyFill="1" applyBorder="1" applyAlignment="1">
      <alignment horizontal="right"/>
    </xf>
    <xf numFmtId="166" fontId="11" fillId="0" borderId="2" xfId="2" applyNumberFormat="1" applyFont="1" applyFill="1" applyBorder="1"/>
    <xf numFmtId="166" fontId="11" fillId="3" borderId="0" xfId="2" applyNumberFormat="1" applyFont="1" applyFill="1"/>
    <xf numFmtId="0" fontId="20" fillId="0" borderId="0" xfId="11" applyAlignment="1" applyProtection="1"/>
    <xf numFmtId="2" fontId="5" fillId="0" borderId="0" xfId="2" applyNumberFormat="1" applyFont="1"/>
    <xf numFmtId="0" fontId="11" fillId="0" borderId="0" xfId="2" applyFont="1" applyAlignment="1">
      <alignment horizontal="right"/>
    </xf>
    <xf numFmtId="0" fontId="11" fillId="3" borderId="0" xfId="2" applyFont="1" applyFill="1"/>
    <xf numFmtId="0" fontId="11" fillId="9" borderId="0" xfId="2" applyFont="1" applyFill="1"/>
    <xf numFmtId="2" fontId="5" fillId="9" borderId="0" xfId="2" applyNumberFormat="1" applyFont="1" applyFill="1"/>
    <xf numFmtId="166" fontId="11" fillId="0" borderId="0" xfId="2" applyNumberFormat="1" applyFont="1" applyAlignment="1">
      <alignment horizontal="right"/>
    </xf>
    <xf numFmtId="166" fontId="5" fillId="0" borderId="0" xfId="2" applyNumberFormat="1" applyFont="1"/>
    <xf numFmtId="166" fontId="11" fillId="10" borderId="0" xfId="2" applyNumberFormat="1" applyFont="1" applyFill="1"/>
    <xf numFmtId="0" fontId="11" fillId="11" borderId="0" xfId="2" applyFont="1" applyFill="1"/>
    <xf numFmtId="3" fontId="11" fillId="11" borderId="0" xfId="2" applyNumberFormat="1" applyFont="1" applyFill="1"/>
    <xf numFmtId="166" fontId="11" fillId="6" borderId="0" xfId="2" applyNumberFormat="1" applyFont="1" applyFill="1"/>
    <xf numFmtId="0" fontId="11" fillId="9" borderId="0" xfId="2" applyFont="1" applyFill="1" applyAlignment="1">
      <alignment horizontal="right"/>
    </xf>
    <xf numFmtId="166" fontId="11" fillId="9" borderId="0" xfId="2" applyNumberFormat="1" applyFont="1" applyFill="1"/>
    <xf numFmtId="2" fontId="5" fillId="12" borderId="0" xfId="2" applyNumberFormat="1" applyFill="1"/>
    <xf numFmtId="2" fontId="2" fillId="0" borderId="0" xfId="12" applyNumberFormat="1" applyBorder="1" applyAlignment="1">
      <alignment vertical="top"/>
    </xf>
    <xf numFmtId="2" fontId="2" fillId="3" borderId="0" xfId="12" applyNumberFormat="1" applyFill="1" applyBorder="1" applyAlignment="1">
      <alignment vertical="top"/>
    </xf>
    <xf numFmtId="2" fontId="5" fillId="0" borderId="0" xfId="2" applyNumberFormat="1" applyFill="1"/>
    <xf numFmtId="0" fontId="5" fillId="13" borderId="2" xfId="2" applyFill="1" applyBorder="1"/>
    <xf numFmtId="2" fontId="11" fillId="0" borderId="0" xfId="2" applyNumberFormat="1" applyFont="1"/>
    <xf numFmtId="169" fontId="11" fillId="0" borderId="0" xfId="8" applyNumberFormat="1" applyFont="1"/>
    <xf numFmtId="2" fontId="5" fillId="3" borderId="0" xfId="2" applyNumberFormat="1" applyFill="1"/>
    <xf numFmtId="167" fontId="11" fillId="12" borderId="0" xfId="2" applyNumberFormat="1" applyFont="1" applyFill="1"/>
    <xf numFmtId="2" fontId="11" fillId="3" borderId="0" xfId="2" applyNumberFormat="1" applyFont="1" applyFill="1"/>
    <xf numFmtId="4" fontId="5" fillId="0" borderId="0" xfId="2" applyNumberFormat="1" applyFont="1"/>
    <xf numFmtId="4" fontId="11" fillId="0" borderId="0" xfId="2" applyNumberFormat="1" applyFont="1"/>
    <xf numFmtId="167" fontId="11" fillId="0" borderId="0" xfId="2" applyNumberFormat="1" applyFont="1"/>
    <xf numFmtId="0" fontId="5" fillId="6" borderId="2" xfId="2" applyFill="1" applyBorder="1"/>
    <xf numFmtId="2" fontId="11" fillId="0" borderId="0" xfId="2" applyNumberFormat="1" applyFont="1" applyFill="1"/>
    <xf numFmtId="169" fontId="11" fillId="9" borderId="0" xfId="8" applyNumberFormat="1" applyFont="1" applyFill="1"/>
    <xf numFmtId="167" fontId="11" fillId="0" borderId="0" xfId="8" applyNumberFormat="1" applyFont="1" applyFill="1"/>
    <xf numFmtId="9" fontId="5" fillId="0" borderId="0" xfId="8" applyNumberFormat="1" applyFont="1"/>
    <xf numFmtId="2" fontId="5" fillId="6" borderId="2" xfId="2" applyNumberFormat="1" applyFill="1" applyBorder="1"/>
    <xf numFmtId="2" fontId="5" fillId="14" borderId="0" xfId="2" applyNumberFormat="1" applyFill="1"/>
    <xf numFmtId="166" fontId="5" fillId="0" borderId="0" xfId="2" applyNumberFormat="1"/>
    <xf numFmtId="0" fontId="5" fillId="3" borderId="0" xfId="2" applyFont="1" applyFill="1"/>
    <xf numFmtId="10" fontId="11" fillId="0" borderId="0" xfId="8" applyNumberFormat="1" applyFont="1"/>
    <xf numFmtId="0" fontId="5" fillId="15" borderId="0" xfId="2" applyFont="1" applyFill="1"/>
    <xf numFmtId="168" fontId="11" fillId="15" borderId="0" xfId="2" applyNumberFormat="1" applyFont="1" applyFill="1"/>
    <xf numFmtId="168" fontId="11" fillId="0" borderId="0" xfId="2" applyNumberFormat="1" applyFont="1"/>
    <xf numFmtId="4" fontId="11" fillId="5" borderId="0" xfId="2" applyNumberFormat="1" applyFont="1" applyFill="1"/>
    <xf numFmtId="167" fontId="5" fillId="15" borderId="0" xfId="8" applyNumberFormat="1" applyFont="1" applyFill="1"/>
    <xf numFmtId="167" fontId="5" fillId="0" borderId="2" xfId="8" applyNumberFormat="1" applyFont="1" applyBorder="1"/>
    <xf numFmtId="165" fontId="4" fillId="0" borderId="0" xfId="6" applyFont="1" applyBorder="1"/>
    <xf numFmtId="166" fontId="4" fillId="0" borderId="0" xfId="6" applyNumberFormat="1" applyFont="1" applyBorder="1" applyAlignment="1" applyProtection="1">
      <alignment horizontal="right"/>
    </xf>
    <xf numFmtId="165" fontId="4" fillId="0" borderId="0" xfId="6" applyFont="1" applyBorder="1" applyAlignment="1">
      <alignment horizontal="right"/>
    </xf>
    <xf numFmtId="3" fontId="4" fillId="0" borderId="0" xfId="6" applyNumberFormat="1" applyFont="1" applyBorder="1" applyAlignment="1" applyProtection="1">
      <alignment horizontal="right"/>
    </xf>
    <xf numFmtId="166" fontId="3" fillId="0" borderId="0" xfId="6" applyNumberFormat="1" applyFont="1"/>
    <xf numFmtId="165" fontId="4" fillId="0" borderId="3" xfId="6" applyFont="1" applyBorder="1" applyAlignment="1">
      <alignment vertical="top"/>
    </xf>
    <xf numFmtId="166" fontId="4" fillId="0" borderId="3" xfId="6" applyNumberFormat="1" applyFont="1" applyBorder="1" applyAlignment="1" applyProtection="1">
      <alignment horizontal="right" vertical="top"/>
    </xf>
    <xf numFmtId="166" fontId="4" fillId="0" borderId="0" xfId="6" applyNumberFormat="1" applyFont="1" applyBorder="1" applyAlignment="1" applyProtection="1">
      <alignment horizontal="right" vertical="top"/>
    </xf>
    <xf numFmtId="166" fontId="17" fillId="0" borderId="3" xfId="6" applyNumberFormat="1" applyFont="1" applyBorder="1" applyAlignment="1" applyProtection="1">
      <alignment horizontal="right"/>
    </xf>
    <xf numFmtId="166" fontId="17" fillId="0" borderId="0" xfId="6" applyNumberFormat="1" applyFont="1" applyBorder="1" applyAlignment="1" applyProtection="1">
      <alignment horizontal="right" vertical="top"/>
    </xf>
    <xf numFmtId="165" fontId="3" fillId="0" borderId="0" xfId="6" applyFont="1" applyAlignment="1" applyProtection="1">
      <alignment horizontal="left"/>
    </xf>
    <xf numFmtId="1" fontId="3" fillId="0" borderId="0" xfId="6" applyNumberFormat="1" applyFont="1" applyProtection="1"/>
    <xf numFmtId="3" fontId="3" fillId="0" borderId="0" xfId="6" applyNumberFormat="1" applyFont="1" applyProtection="1"/>
    <xf numFmtId="1" fontId="21" fillId="0" borderId="0" xfId="6" applyNumberFormat="1" applyFont="1" applyProtection="1"/>
    <xf numFmtId="1" fontId="22" fillId="0" borderId="0" xfId="6" applyNumberFormat="1" applyFont="1" applyProtection="1"/>
    <xf numFmtId="1" fontId="23" fillId="0" borderId="0" xfId="6" applyNumberFormat="1" applyFont="1" applyProtection="1"/>
    <xf numFmtId="165" fontId="3" fillId="0" borderId="0" xfId="6" applyFont="1" applyFill="1" applyAlignment="1" applyProtection="1">
      <alignment horizontal="left"/>
    </xf>
    <xf numFmtId="165" fontId="3" fillId="0" borderId="0" xfId="6" applyFont="1" applyFill="1" applyBorder="1" applyAlignment="1" applyProtection="1">
      <alignment horizontal="left"/>
    </xf>
    <xf numFmtId="0" fontId="25" fillId="16" borderId="0" xfId="13" applyFont="1" applyFill="1" applyAlignment="1" applyProtection="1"/>
    <xf numFmtId="0" fontId="26" fillId="16" borderId="0" xfId="13" applyFont="1" applyFill="1" applyAlignment="1" applyProtection="1"/>
    <xf numFmtId="0" fontId="29" fillId="16" borderId="0" xfId="13" applyFont="1" applyFill="1" applyAlignment="1" applyProtection="1"/>
    <xf numFmtId="170" fontId="26" fillId="16" borderId="0" xfId="15" applyFont="1" applyFill="1" applyAlignment="1" applyProtection="1">
      <alignment horizontal="left"/>
    </xf>
    <xf numFmtId="170" fontId="31" fillId="16" borderId="0" xfId="15" applyFont="1" applyFill="1" applyAlignment="1" applyProtection="1">
      <alignment horizontal="left"/>
    </xf>
    <xf numFmtId="0" fontId="32" fillId="16" borderId="5" xfId="13" applyFont="1" applyFill="1" applyBorder="1" applyAlignment="1" applyProtection="1">
      <alignment horizontal="left" vertical="top"/>
    </xf>
    <xf numFmtId="0" fontId="24" fillId="16" borderId="5" xfId="13" applyFont="1" applyFill="1" applyBorder="1" applyAlignment="1" applyProtection="1"/>
    <xf numFmtId="0" fontId="24" fillId="0" borderId="5" xfId="13" applyFont="1" applyFill="1" applyBorder="1" applyAlignment="1" applyProtection="1"/>
    <xf numFmtId="0" fontId="24" fillId="16" borderId="5" xfId="13" applyFont="1" applyFill="1" applyBorder="1" applyAlignment="1" applyProtection="1">
      <alignment horizontal="right"/>
    </xf>
    <xf numFmtId="0" fontId="24" fillId="16" borderId="0" xfId="13" applyFont="1" applyFill="1" applyAlignment="1" applyProtection="1"/>
    <xf numFmtId="0" fontId="32" fillId="16" borderId="6" xfId="13" applyFont="1" applyFill="1" applyBorder="1" applyAlignment="1" applyProtection="1">
      <alignment horizontal="left" vertical="top"/>
    </xf>
    <xf numFmtId="0" fontId="24" fillId="16" borderId="6" xfId="13" applyFont="1" applyFill="1" applyBorder="1" applyAlignment="1" applyProtection="1"/>
    <xf numFmtId="0" fontId="32" fillId="16" borderId="5" xfId="13" applyFont="1" applyFill="1" applyBorder="1" applyAlignment="1" applyProtection="1">
      <alignment horizontal="left" wrapText="1"/>
    </xf>
    <xf numFmtId="0" fontId="32" fillId="16" borderId="5" xfId="13" applyFont="1" applyFill="1" applyBorder="1" applyAlignment="1" applyProtection="1">
      <alignment horizontal="right" wrapText="1"/>
    </xf>
    <xf numFmtId="0" fontId="32" fillId="16" borderId="5" xfId="1" applyFont="1" applyFill="1" applyBorder="1" applyAlignment="1" applyProtection="1">
      <alignment horizontal="right" wrapText="1"/>
    </xf>
    <xf numFmtId="0" fontId="32" fillId="16" borderId="0" xfId="1" applyFont="1" applyFill="1" applyAlignment="1" applyProtection="1">
      <alignment horizontal="left"/>
    </xf>
    <xf numFmtId="168" fontId="24" fillId="16" borderId="0" xfId="10" applyFont="1" applyFill="1" applyAlignment="1" applyProtection="1">
      <alignment horizontal="left"/>
    </xf>
    <xf numFmtId="166" fontId="24" fillId="16" borderId="0" xfId="10" applyNumberFormat="1" applyFont="1" applyFill="1" applyAlignment="1" applyProtection="1">
      <alignment horizontal="right"/>
    </xf>
    <xf numFmtId="166" fontId="32" fillId="16" borderId="0" xfId="10" applyNumberFormat="1" applyFont="1" applyFill="1" applyAlignment="1" applyProtection="1">
      <alignment horizontal="right"/>
    </xf>
    <xf numFmtId="168" fontId="34" fillId="16" borderId="0" xfId="16" applyFont="1" applyFill="1" applyAlignment="1" applyProtection="1"/>
    <xf numFmtId="0" fontId="32" fillId="16" borderId="8" xfId="1" applyFont="1" applyFill="1" applyBorder="1" applyAlignment="1" applyProtection="1">
      <alignment horizontal="left"/>
    </xf>
    <xf numFmtId="168" fontId="24" fillId="16" borderId="8" xfId="10" applyFont="1" applyFill="1" applyBorder="1" applyAlignment="1" applyProtection="1">
      <alignment horizontal="left"/>
    </xf>
    <xf numFmtId="0" fontId="36" fillId="16" borderId="0" xfId="17" applyFont="1" applyFill="1" applyAlignment="1" applyProtection="1">
      <alignment horizontal="left"/>
    </xf>
    <xf numFmtId="0" fontId="37" fillId="16" borderId="0" xfId="17" applyFont="1" applyFill="1" applyAlignment="1" applyProtection="1">
      <alignment horizontal="left"/>
    </xf>
    <xf numFmtId="0" fontId="32" fillId="16" borderId="0" xfId="10" applyNumberFormat="1" applyFont="1" applyFill="1" applyAlignment="1" applyProtection="1">
      <alignment horizontal="left"/>
    </xf>
    <xf numFmtId="171" fontId="24" fillId="16" borderId="5" xfId="16" applyNumberFormat="1" applyFont="1" applyFill="1" applyBorder="1" applyAlignment="1" applyProtection="1">
      <alignment horizontal="right"/>
    </xf>
    <xf numFmtId="168" fontId="24" fillId="16" borderId="5" xfId="16" applyFont="1" applyFill="1" applyBorder="1" applyAlignment="1" applyProtection="1">
      <alignment horizontal="left"/>
    </xf>
    <xf numFmtId="1" fontId="38" fillId="16" borderId="5" xfId="16" applyNumberFormat="1" applyFont="1" applyFill="1" applyBorder="1" applyAlignment="1" applyProtection="1">
      <alignment horizontal="right"/>
    </xf>
    <xf numFmtId="171" fontId="24" fillId="16" borderId="0" xfId="1" applyNumberFormat="1" applyFont="1" applyFill="1" applyAlignment="1" applyProtection="1">
      <alignment horizontal="left"/>
    </xf>
    <xf numFmtId="168" fontId="24" fillId="16" borderId="0" xfId="16" applyFont="1" applyFill="1" applyAlignment="1" applyProtection="1">
      <alignment horizontal="left"/>
    </xf>
    <xf numFmtId="166" fontId="24" fillId="16" borderId="0" xfId="16" applyNumberFormat="1" applyFont="1" applyFill="1" applyAlignment="1" applyProtection="1"/>
    <xf numFmtId="168" fontId="24" fillId="16" borderId="0" xfId="16" applyFont="1" applyFill="1" applyAlignment="1" applyProtection="1"/>
    <xf numFmtId="168" fontId="24" fillId="16" borderId="0" xfId="16" applyFont="1" applyFill="1" applyAlignment="1" applyProtection="1">
      <alignment horizontal="right"/>
    </xf>
    <xf numFmtId="0" fontId="24" fillId="16" borderId="0" xfId="13" applyFont="1" applyFill="1" applyAlignment="1" applyProtection="1">
      <alignment horizontal="right"/>
    </xf>
    <xf numFmtId="166" fontId="24" fillId="16" borderId="0" xfId="16" applyNumberFormat="1" applyFont="1" applyFill="1" applyAlignment="1" applyProtection="1">
      <alignment horizontal="right"/>
    </xf>
    <xf numFmtId="0" fontId="24" fillId="16" borderId="0" xfId="13" applyFont="1" applyFill="1" applyAlignment="1" applyProtection="1">
      <alignment horizontal="right" vertical="top"/>
    </xf>
    <xf numFmtId="0" fontId="24" fillId="16" borderId="0" xfId="1" applyFont="1" applyFill="1" applyAlignment="1" applyProtection="1"/>
    <xf numFmtId="0" fontId="28" fillId="16" borderId="0" xfId="14" applyFont="1" applyFill="1" applyAlignment="1"/>
    <xf numFmtId="168" fontId="34" fillId="16" borderId="0" xfId="16" applyFont="1" applyFill="1" applyAlignment="1" applyProtection="1">
      <alignment horizontal="left"/>
    </xf>
    <xf numFmtId="166" fontId="34" fillId="16" borderId="0" xfId="16" applyNumberFormat="1" applyFont="1" applyFill="1" applyAlignment="1" applyProtection="1"/>
    <xf numFmtId="0" fontId="24" fillId="0" borderId="0" xfId="14" applyFont="1" applyFill="1" applyAlignment="1"/>
    <xf numFmtId="0" fontId="39" fillId="16" borderId="0" xfId="13" applyFont="1" applyFill="1" applyAlignment="1" applyProtection="1"/>
    <xf numFmtId="0" fontId="42" fillId="0" borderId="0" xfId="18" applyFont="1" applyAlignment="1"/>
    <xf numFmtId="0" fontId="41" fillId="0" borderId="0" xfId="18" applyAlignment="1">
      <alignment wrapText="1"/>
    </xf>
    <xf numFmtId="0" fontId="41" fillId="9" borderId="0" xfId="18" applyFill="1" applyAlignment="1">
      <alignment wrapText="1"/>
    </xf>
    <xf numFmtId="0" fontId="41" fillId="0" borderId="0" xfId="18"/>
    <xf numFmtId="0" fontId="43" fillId="0" borderId="0" xfId="18" applyFont="1" applyAlignment="1"/>
    <xf numFmtId="0" fontId="41" fillId="0" borderId="0" xfId="18" applyAlignment="1"/>
    <xf numFmtId="0" fontId="44" fillId="0" borderId="0" xfId="18" applyFont="1" applyAlignment="1"/>
    <xf numFmtId="0" fontId="5" fillId="0" borderId="0" xfId="2" applyAlignment="1">
      <alignment horizontal="right"/>
    </xf>
    <xf numFmtId="0" fontId="5" fillId="0" borderId="0" xfId="2" applyAlignment="1">
      <alignment wrapText="1"/>
    </xf>
    <xf numFmtId="0" fontId="45" fillId="0" borderId="0" xfId="18" applyFont="1" applyAlignment="1"/>
    <xf numFmtId="0" fontId="46" fillId="0" borderId="0" xfId="18" applyFont="1" applyAlignment="1">
      <alignment wrapText="1"/>
    </xf>
    <xf numFmtId="0" fontId="46" fillId="9" borderId="0" xfId="18" applyFont="1" applyFill="1" applyAlignment="1">
      <alignment wrapText="1"/>
    </xf>
    <xf numFmtId="0" fontId="41" fillId="0" borderId="0" xfId="18" applyAlignment="1">
      <alignment horizontal="left" wrapText="1"/>
    </xf>
    <xf numFmtId="2" fontId="41" fillId="0" borderId="0" xfId="18" applyNumberFormat="1" applyAlignment="1">
      <alignment wrapText="1"/>
    </xf>
    <xf numFmtId="166" fontId="41" fillId="0" borderId="0" xfId="18" applyNumberFormat="1" applyAlignment="1">
      <alignment wrapText="1"/>
    </xf>
    <xf numFmtId="2" fontId="41" fillId="9" borderId="0" xfId="18" applyNumberFormat="1" applyFill="1" applyAlignment="1">
      <alignment wrapText="1"/>
    </xf>
    <xf numFmtId="0" fontId="41" fillId="0" borderId="0" xfId="18" applyFill="1" applyAlignment="1">
      <alignment wrapText="1"/>
    </xf>
    <xf numFmtId="0" fontId="46" fillId="0" borderId="0" xfId="18" applyFont="1" applyFill="1" applyAlignment="1">
      <alignment wrapText="1"/>
    </xf>
    <xf numFmtId="2" fontId="41" fillId="0" borderId="0" xfId="18" applyNumberFormat="1" applyFill="1" applyAlignment="1">
      <alignment wrapText="1"/>
    </xf>
    <xf numFmtId="0" fontId="0" fillId="0" borderId="0" xfId="4" applyFont="1"/>
    <xf numFmtId="0" fontId="47" fillId="0" borderId="0" xfId="2" applyFont="1"/>
    <xf numFmtId="0" fontId="0" fillId="0" borderId="0" xfId="2" applyFont="1" applyAlignment="1">
      <alignment horizontal="right"/>
    </xf>
    <xf numFmtId="10" fontId="5" fillId="0" borderId="0" xfId="8" applyNumberFormat="1" applyFont="1" applyFill="1"/>
    <xf numFmtId="0" fontId="0" fillId="9" borderId="0" xfId="2" applyFont="1" applyFill="1"/>
    <xf numFmtId="0" fontId="20" fillId="9" borderId="0" xfId="11" applyFill="1" applyAlignment="1" applyProtection="1"/>
    <xf numFmtId="0" fontId="0" fillId="0" borderId="0" xfId="2" applyFont="1"/>
    <xf numFmtId="167" fontId="5" fillId="9" borderId="0" xfId="7" applyNumberFormat="1" applyFont="1" applyFill="1"/>
    <xf numFmtId="167" fontId="5" fillId="18" borderId="0" xfId="7" applyNumberFormat="1" applyFont="1" applyFill="1"/>
    <xf numFmtId="166" fontId="5" fillId="9" borderId="0" xfId="2" applyNumberFormat="1" applyFont="1" applyFill="1"/>
    <xf numFmtId="166" fontId="5" fillId="18" borderId="0" xfId="2" applyNumberFormat="1" applyFont="1" applyFill="1"/>
    <xf numFmtId="0" fontId="5" fillId="18" borderId="0" xfId="2" applyFill="1"/>
    <xf numFmtId="2" fontId="5" fillId="18" borderId="0" xfId="2" applyNumberFormat="1" applyFont="1" applyFill="1" applyBorder="1"/>
    <xf numFmtId="2" fontId="5" fillId="18" borderId="0" xfId="2" applyNumberFormat="1" applyFill="1"/>
    <xf numFmtId="2" fontId="5" fillId="9" borderId="0" xfId="2" applyNumberFormat="1" applyFill="1"/>
    <xf numFmtId="0" fontId="48" fillId="0" borderId="0" xfId="2" applyFont="1" applyFill="1"/>
    <xf numFmtId="0" fontId="48" fillId="0" borderId="0" xfId="2" applyFont="1" applyFill="1" applyAlignment="1">
      <alignment horizontal="right"/>
    </xf>
    <xf numFmtId="167" fontId="48" fillId="0" borderId="0" xfId="8" applyNumberFormat="1" applyFont="1" applyFill="1"/>
    <xf numFmtId="0" fontId="5" fillId="0" borderId="2" xfId="2" applyFill="1" applyBorder="1"/>
    <xf numFmtId="167" fontId="5" fillId="18" borderId="0" xfId="8" applyNumberFormat="1" applyFont="1" applyFill="1"/>
    <xf numFmtId="0" fontId="5" fillId="9" borderId="0" xfId="2" applyFill="1"/>
    <xf numFmtId="0" fontId="0" fillId="9" borderId="0" xfId="2" applyFont="1" applyFill="1" applyAlignment="1">
      <alignment horizontal="right"/>
    </xf>
    <xf numFmtId="0" fontId="5" fillId="9" borderId="0" xfId="2" applyFont="1" applyFill="1"/>
    <xf numFmtId="167" fontId="5" fillId="9" borderId="0" xfId="8" applyNumberFormat="1" applyFont="1" applyFill="1"/>
    <xf numFmtId="0" fontId="5" fillId="9" borderId="2" xfId="2" applyFill="1" applyBorder="1"/>
    <xf numFmtId="0" fontId="0" fillId="0" borderId="0" xfId="2" applyFont="1" applyFill="1" applyAlignment="1">
      <alignment horizontal="right"/>
    </xf>
    <xf numFmtId="166" fontId="0" fillId="0" borderId="0" xfId="0" applyNumberFormat="1"/>
    <xf numFmtId="0" fontId="0" fillId="19" borderId="0" xfId="0" applyFill="1"/>
    <xf numFmtId="0" fontId="0" fillId="18" borderId="0" xfId="0" applyFill="1"/>
    <xf numFmtId="0" fontId="0" fillId="19" borderId="1" xfId="0" applyFill="1" applyBorder="1"/>
    <xf numFmtId="0" fontId="50" fillId="0" borderId="0" xfId="19" applyFont="1"/>
    <xf numFmtId="0" fontId="49" fillId="0" borderId="0" xfId="19"/>
    <xf numFmtId="0" fontId="51" fillId="0" borderId="3" xfId="19" applyFont="1" applyBorder="1" applyAlignment="1">
      <alignment horizontal="center"/>
    </xf>
    <xf numFmtId="0" fontId="5" fillId="0" borderId="0" xfId="2" applyAlignment="1">
      <alignment horizontal="center"/>
    </xf>
    <xf numFmtId="10" fontId="5" fillId="0" borderId="0" xfId="2" applyNumberFormat="1" applyAlignment="1">
      <alignment horizontal="center"/>
    </xf>
    <xf numFmtId="0" fontId="0" fillId="17" borderId="0" xfId="0" applyFill="1"/>
    <xf numFmtId="0" fontId="52" fillId="0" borderId="0" xfId="0" applyFont="1" applyAlignment="1">
      <alignment horizontal="center" vertical="center" readingOrder="1"/>
    </xf>
    <xf numFmtId="10" fontId="5" fillId="18" borderId="0" xfId="2" applyNumberFormat="1" applyFill="1" applyAlignment="1">
      <alignment horizontal="center"/>
    </xf>
    <xf numFmtId="0" fontId="5" fillId="0" borderId="0" xfId="2" applyFill="1" applyAlignment="1">
      <alignment horizontal="center"/>
    </xf>
    <xf numFmtId="10" fontId="5" fillId="0" borderId="0" xfId="2" applyNumberFormat="1" applyFill="1" applyAlignment="1">
      <alignment horizontal="center"/>
    </xf>
    <xf numFmtId="0" fontId="54" fillId="0" borderId="0" xfId="2" applyFont="1" applyAlignment="1"/>
    <xf numFmtId="0" fontId="54" fillId="0" borderId="0" xfId="2" applyFont="1" applyAlignment="1">
      <alignment horizontal="center"/>
    </xf>
    <xf numFmtId="0" fontId="54" fillId="0" borderId="0" xfId="2" applyFont="1" applyAlignment="1">
      <alignment horizontal="left"/>
    </xf>
    <xf numFmtId="0" fontId="5" fillId="3" borderId="0" xfId="2" applyFill="1" applyAlignment="1">
      <alignment horizontal="center" vertical="top" wrapText="1"/>
    </xf>
    <xf numFmtId="0" fontId="28" fillId="16" borderId="0" xfId="14" applyFont="1" applyFill="1" applyAlignment="1"/>
    <xf numFmtId="1" fontId="15" fillId="0" borderId="0" xfId="6" applyNumberFormat="1" applyFont="1" applyAlignment="1" applyProtection="1">
      <alignment horizontal="left" vertical="top" wrapText="1"/>
    </xf>
    <xf numFmtId="0" fontId="32" fillId="16" borderId="7" xfId="13" applyFont="1" applyFill="1" applyBorder="1" applyAlignment="1" applyProtection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1" fillId="0" borderId="0" xfId="0" applyFont="1"/>
    <xf numFmtId="0" fontId="55" fillId="0" borderId="0" xfId="0" applyFont="1" applyFill="1"/>
    <xf numFmtId="0" fontId="55" fillId="0" borderId="0" xfId="0" applyFont="1" applyFill="1" applyAlignment="1">
      <alignment vertical="center"/>
    </xf>
  </cellXfs>
  <cellStyles count="20">
    <cellStyle name="Heading_6. New topics" xfId="15" xr:uid="{00000000-0005-0000-0000-000000000000}"/>
    <cellStyle name="Hyperlink" xfId="11" builtinId="8"/>
    <cellStyle name="Hyperlink 2" xfId="5" xr:uid="{00000000-0005-0000-0000-000002000000}"/>
    <cellStyle name="Hyperlink 2 2" xfId="14" xr:uid="{00000000-0005-0000-0000-000003000000}"/>
    <cellStyle name="Normal" xfId="0" builtinId="0"/>
    <cellStyle name="Normal 2 2" xfId="1" xr:uid="{00000000-0005-0000-0000-000005000000}"/>
    <cellStyle name="Normal 2 2 3" xfId="19" xr:uid="{00000000-0005-0000-0000-000006000000}"/>
    <cellStyle name="Normal 2 3" xfId="9" xr:uid="{00000000-0005-0000-0000-000007000000}"/>
    <cellStyle name="Normal 3" xfId="18" xr:uid="{00000000-0005-0000-0000-000008000000}"/>
    <cellStyle name="Normal 4" xfId="3" xr:uid="{00000000-0005-0000-0000-000009000000}"/>
    <cellStyle name="Normal 4 2" xfId="12" xr:uid="{00000000-0005-0000-0000-00000A000000}"/>
    <cellStyle name="Normal 8" xfId="2" xr:uid="{00000000-0005-0000-0000-00000B000000}"/>
    <cellStyle name="Normal 8 5" xfId="4" xr:uid="{00000000-0005-0000-0000-00000C000000}"/>
    <cellStyle name="Normal_70108 updated" xfId="17" xr:uid="{00000000-0005-0000-0000-00000D000000}"/>
    <cellStyle name="Normal_CS94D" xfId="6" xr:uid="{00000000-0005-0000-0000-00000E000000}"/>
    <cellStyle name="Normal_TRA2501" xfId="16" xr:uid="{00000000-0005-0000-0000-00000F000000}"/>
    <cellStyle name="Normal_TRA2502a" xfId="10" xr:uid="{00000000-0005-0000-0000-000010000000}"/>
    <cellStyle name="Normal_TRA9901" xfId="13" xr:uid="{00000000-0005-0000-0000-000011000000}"/>
    <cellStyle name="Percent 2" xfId="8" xr:uid="{00000000-0005-0000-0000-000012000000}"/>
    <cellStyle name="Percent 4" xfId="7" xr:uid="{00000000-0005-0000-0000-000013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calcChain" Target="calcChain.xml"/><Relationship Id="rId21" Type="http://schemas.openxmlformats.org/officeDocument/2006/relationships/worksheet" Target="worksheets/sheet21.xml"/><Relationship Id="rId34" Type="http://schemas.openxmlformats.org/officeDocument/2006/relationships/externalLink" Target="externalLinks/externalLink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externalLink" Target="externalLinks/externalLink4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externalLink" Target="externalLinks/externalLink3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externalLink" Target="externalLinks/externalLink1.xml"/><Relationship Id="rId35" Type="http://schemas.openxmlformats.org/officeDocument/2006/relationships/externalLink" Target="externalLinks/externalLink6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Diesel HDVs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COMMENTS'!$H$3:$BP$3</c:f>
              <c:numCache>
                <c:formatCode>0.00%</c:formatCode>
                <c:ptCount val="61"/>
                <c:pt idx="0">
                  <c:v>0.40847889610190591</c:v>
                </c:pt>
                <c:pt idx="1">
                  <c:v>0.40328377269335225</c:v>
                </c:pt>
                <c:pt idx="2">
                  <c:v>0.3980164465105962</c:v>
                </c:pt>
                <c:pt idx="3">
                  <c:v>0.39262471679183719</c:v>
                </c:pt>
                <c:pt idx="4">
                  <c:v>0.38760258068221881</c:v>
                </c:pt>
                <c:pt idx="5">
                  <c:v>0.38173554814135985</c:v>
                </c:pt>
                <c:pt idx="6">
                  <c:v>0.37548899209667363</c:v>
                </c:pt>
                <c:pt idx="7">
                  <c:v>0.36867467349642047</c:v>
                </c:pt>
                <c:pt idx="8">
                  <c:v>0.36193549665508357</c:v>
                </c:pt>
                <c:pt idx="9">
                  <c:v>0.35474344509747707</c:v>
                </c:pt>
                <c:pt idx="10">
                  <c:v>0.34821292435925805</c:v>
                </c:pt>
                <c:pt idx="11">
                  <c:v>0.3474584861085151</c:v>
                </c:pt>
                <c:pt idx="12">
                  <c:v>0.34855863919161711</c:v>
                </c:pt>
                <c:pt idx="13">
                  <c:v>0.34431077833841717</c:v>
                </c:pt>
                <c:pt idx="14">
                  <c:v>0.34337776633590539</c:v>
                </c:pt>
                <c:pt idx="15">
                  <c:v>0.34246965147055791</c:v>
                </c:pt>
                <c:pt idx="16">
                  <c:v>0.3437177819105211</c:v>
                </c:pt>
                <c:pt idx="17">
                  <c:v>0.33794011347286768</c:v>
                </c:pt>
                <c:pt idx="18">
                  <c:v>0.33909376668055474</c:v>
                </c:pt>
                <c:pt idx="19">
                  <c:v>0.33509502623138315</c:v>
                </c:pt>
                <c:pt idx="20">
                  <c:v>0.34193196201132975</c:v>
                </c:pt>
                <c:pt idx="21">
                  <c:v>0.3456378159568152</c:v>
                </c:pt>
                <c:pt idx="22">
                  <c:v>0.33764877793738435</c:v>
                </c:pt>
                <c:pt idx="23">
                  <c:v>0.32943862877797686</c:v>
                </c:pt>
                <c:pt idx="24">
                  <c:v>0.3217459637926689</c:v>
                </c:pt>
                <c:pt idx="25">
                  <c:v>0.31272521955649496</c:v>
                </c:pt>
                <c:pt idx="26">
                  <c:v>0.29933764538802471</c:v>
                </c:pt>
                <c:pt idx="27">
                  <c:v>0.30587617418968793</c:v>
                </c:pt>
                <c:pt idx="28">
                  <c:v>0.30262283165025372</c:v>
                </c:pt>
                <c:pt idx="29">
                  <c:v>0.30992331558731889</c:v>
                </c:pt>
                <c:pt idx="30">
                  <c:v>0.30857478815076761</c:v>
                </c:pt>
                <c:pt idx="31">
                  <c:v>0.31243728350772565</c:v>
                </c:pt>
                <c:pt idx="32">
                  <c:v>0.30887757901089768</c:v>
                </c:pt>
                <c:pt idx="33">
                  <c:v>0.3098511756906307</c:v>
                </c:pt>
                <c:pt idx="34">
                  <c:v>0.30804929852529261</c:v>
                </c:pt>
                <c:pt idx="35">
                  <c:v>0.31394635340968907</c:v>
                </c:pt>
                <c:pt idx="36">
                  <c:v>0.3149028149854482</c:v>
                </c:pt>
                <c:pt idx="37">
                  <c:v>0.31864719750020742</c:v>
                </c:pt>
                <c:pt idx="38">
                  <c:v>0.32565510549951848</c:v>
                </c:pt>
                <c:pt idx="39">
                  <c:v>0.33123769052821955</c:v>
                </c:pt>
                <c:pt idx="40">
                  <c:v>0.33445303251308206</c:v>
                </c:pt>
                <c:pt idx="41">
                  <c:v>0.33458266422462046</c:v>
                </c:pt>
                <c:pt idx="42">
                  <c:v>0.3330543485233578</c:v>
                </c:pt>
                <c:pt idx="43">
                  <c:v>0.33239397727797582</c:v>
                </c:pt>
                <c:pt idx="44">
                  <c:v>0.33438792382800453</c:v>
                </c:pt>
                <c:pt idx="45">
                  <c:v>0.33150413747672114</c:v>
                </c:pt>
                <c:pt idx="46">
                  <c:v>0.3316496489590835</c:v>
                </c:pt>
                <c:pt idx="47">
                  <c:v>0.33220254056592907</c:v>
                </c:pt>
                <c:pt idx="48">
                  <c:v>0.33980075148255395</c:v>
                </c:pt>
                <c:pt idx="49">
                  <c:v>0.33892044450566411</c:v>
                </c:pt>
                <c:pt idx="50">
                  <c:v>0.3362443812563049</c:v>
                </c:pt>
                <c:pt idx="51">
                  <c:v>0.33710835035903358</c:v>
                </c:pt>
                <c:pt idx="52">
                  <c:v>0.33310714274844133</c:v>
                </c:pt>
                <c:pt idx="53">
                  <c:v>0.33481175675792424</c:v>
                </c:pt>
                <c:pt idx="54">
                  <c:v>0.3347908863263479</c:v>
                </c:pt>
                <c:pt idx="55">
                  <c:v>0.33293278873356619</c:v>
                </c:pt>
                <c:pt idx="56">
                  <c:v>0.3296142687184262</c:v>
                </c:pt>
                <c:pt idx="57">
                  <c:v>0.33077807570325118</c:v>
                </c:pt>
                <c:pt idx="58">
                  <c:v>0.33242816814361281</c:v>
                </c:pt>
                <c:pt idx="59">
                  <c:v>0.3319542598848727</c:v>
                </c:pt>
                <c:pt idx="60">
                  <c:v>0.33148129071111027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533-44F3-8C6B-0481AA604EFA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COMMENTS'!$H$4:$BP$4</c:f>
              <c:numCache>
                <c:formatCode>0.00%</c:formatCode>
                <c:ptCount val="61"/>
                <c:pt idx="0">
                  <c:v>0.24923104497901463</c:v>
                </c:pt>
                <c:pt idx="1">
                  <c:v>0.24923104497901463</c:v>
                </c:pt>
                <c:pt idx="2">
                  <c:v>0.24923104497901463</c:v>
                </c:pt>
                <c:pt idx="3">
                  <c:v>0.24923104497901463</c:v>
                </c:pt>
                <c:pt idx="4">
                  <c:v>0.24923104497901463</c:v>
                </c:pt>
                <c:pt idx="5">
                  <c:v>0.24923104497901463</c:v>
                </c:pt>
                <c:pt idx="6">
                  <c:v>0.24923104497901463</c:v>
                </c:pt>
                <c:pt idx="7">
                  <c:v>0.24923104497901463</c:v>
                </c:pt>
                <c:pt idx="8">
                  <c:v>0.24631653613677873</c:v>
                </c:pt>
                <c:pt idx="9">
                  <c:v>0.24631653613677873</c:v>
                </c:pt>
                <c:pt idx="10">
                  <c:v>0.24631653613677873</c:v>
                </c:pt>
                <c:pt idx="11">
                  <c:v>0.24923104497901463</c:v>
                </c:pt>
                <c:pt idx="12">
                  <c:v>0.24923104497901463</c:v>
                </c:pt>
                <c:pt idx="13">
                  <c:v>0.24631653613677873</c:v>
                </c:pt>
                <c:pt idx="14">
                  <c:v>0.24631653613677873</c:v>
                </c:pt>
                <c:pt idx="15">
                  <c:v>0.24923104497901463</c:v>
                </c:pt>
                <c:pt idx="16">
                  <c:v>0.24923104497901463</c:v>
                </c:pt>
                <c:pt idx="17">
                  <c:v>0.24923104497901463</c:v>
                </c:pt>
                <c:pt idx="18">
                  <c:v>0.24631653613677873</c:v>
                </c:pt>
                <c:pt idx="19">
                  <c:v>0.24631653613677873</c:v>
                </c:pt>
                <c:pt idx="20">
                  <c:v>0.24335971815471297</c:v>
                </c:pt>
                <c:pt idx="21">
                  <c:v>0.2403599768424306</c:v>
                </c:pt>
                <c:pt idx="22">
                  <c:v>0.24631653613677873</c:v>
                </c:pt>
                <c:pt idx="23">
                  <c:v>0.24923104497901463</c:v>
                </c:pt>
                <c:pt idx="24">
                  <c:v>0.25210385008335079</c:v>
                </c:pt>
                <c:pt idx="25">
                  <c:v>0.25493554818901454</c:v>
                </c:pt>
                <c:pt idx="26">
                  <c:v>0.25493554818901454</c:v>
                </c:pt>
                <c:pt idx="27">
                  <c:v>0.25772672749648551</c:v>
                </c:pt>
                <c:pt idx="28">
                  <c:v>0.26047796778967608</c:v>
                </c:pt>
                <c:pt idx="29">
                  <c:v>0.26318984055636491</c:v>
                </c:pt>
                <c:pt idx="30">
                  <c:v>0.26047796778967608</c:v>
                </c:pt>
                <c:pt idx="31">
                  <c:v>0.26047796778967608</c:v>
                </c:pt>
                <c:pt idx="32">
                  <c:v>0.26047796778967608</c:v>
                </c:pt>
                <c:pt idx="33">
                  <c:v>0.26318984055636491</c:v>
                </c:pt>
                <c:pt idx="34">
                  <c:v>0.26318984055636491</c:v>
                </c:pt>
                <c:pt idx="35">
                  <c:v>0.26318984055636491</c:v>
                </c:pt>
                <c:pt idx="36">
                  <c:v>0.26586290910690563</c:v>
                </c:pt>
                <c:pt idx="37">
                  <c:v>0.2710948466142255</c:v>
                </c:pt>
                <c:pt idx="38">
                  <c:v>0.26318984055636491</c:v>
                </c:pt>
                <c:pt idx="39">
                  <c:v>0.26047796778967608</c:v>
                </c:pt>
                <c:pt idx="40">
                  <c:v>0.25493554818901454</c:v>
                </c:pt>
                <c:pt idx="41">
                  <c:v>0.25772672749648551</c:v>
                </c:pt>
                <c:pt idx="42">
                  <c:v>0.25493554818901454</c:v>
                </c:pt>
                <c:pt idx="43">
                  <c:v>0.27866534666362858</c:v>
                </c:pt>
                <c:pt idx="44">
                  <c:v>0.27866534666362858</c:v>
                </c:pt>
                <c:pt idx="45">
                  <c:v>0.26047796778967608</c:v>
                </c:pt>
                <c:pt idx="46">
                  <c:v>0.25772672749648551</c:v>
                </c:pt>
                <c:pt idx="47">
                  <c:v>0.2710948466142255</c:v>
                </c:pt>
                <c:pt idx="48">
                  <c:v>0.27365480234933887</c:v>
                </c:pt>
                <c:pt idx="49">
                  <c:v>0.27365480234933887</c:v>
                </c:pt>
                <c:pt idx="50">
                  <c:v>0.2710948466142255</c:v>
                </c:pt>
                <c:pt idx="51">
                  <c:v>0.26849772869123822</c:v>
                </c:pt>
                <c:pt idx="52">
                  <c:v>0.2710948466142255</c:v>
                </c:pt>
                <c:pt idx="53">
                  <c:v>0.2710948466142255</c:v>
                </c:pt>
                <c:pt idx="54">
                  <c:v>0.26849772869123822</c:v>
                </c:pt>
                <c:pt idx="55">
                  <c:v>0.2710948466142255</c:v>
                </c:pt>
                <c:pt idx="56">
                  <c:v>0.2710948466142255</c:v>
                </c:pt>
                <c:pt idx="57">
                  <c:v>0.27365480234933887</c:v>
                </c:pt>
                <c:pt idx="58">
                  <c:v>0.27617812765071842</c:v>
                </c:pt>
                <c:pt idx="59">
                  <c:v>0.2772149115727004</c:v>
                </c:pt>
                <c:pt idx="60">
                  <c:v>0.27825851754970865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533-44F3-8C6B-0481AA604EFA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COMMENTS'!$H$5:$BP$5</c:f>
              <c:numCache>
                <c:formatCode>0.00%</c:formatCode>
                <c:ptCount val="61"/>
                <c:pt idx="0">
                  <c:v>0.24543710366392282</c:v>
                </c:pt>
                <c:pt idx="1">
                  <c:v>0.24588792616053645</c:v>
                </c:pt>
                <c:pt idx="2">
                  <c:v>0.24634027708480746</c:v>
                </c:pt>
                <c:pt idx="3">
                  <c:v>0.24679416310367844</c:v>
                </c:pt>
                <c:pt idx="4">
                  <c:v>0.24724959090916127</c:v>
                </c:pt>
                <c:pt idx="5">
                  <c:v>0.24770656721820902</c:v>
                </c:pt>
                <c:pt idx="6">
                  <c:v>0.24816509877258114</c:v>
                </c:pt>
                <c:pt idx="7">
                  <c:v>0.24862519233870026</c:v>
                </c:pt>
                <c:pt idx="8">
                  <c:v>0.24908685470750211</c:v>
                </c:pt>
                <c:pt idx="9">
                  <c:v>0.24955009269427655</c:v>
                </c:pt>
                <c:pt idx="10">
                  <c:v>0.25001491313850133</c:v>
                </c:pt>
                <c:pt idx="11">
                  <c:v>0.25048132290366643</c:v>
                </c:pt>
                <c:pt idx="12">
                  <c:v>0.25094932887709087</c:v>
                </c:pt>
                <c:pt idx="13">
                  <c:v>0.25141893796972942</c:v>
                </c:pt>
                <c:pt idx="14">
                  <c:v>0.25189015711597146</c:v>
                </c:pt>
                <c:pt idx="15">
                  <c:v>0.25236299327342893</c:v>
                </c:pt>
                <c:pt idx="16">
                  <c:v>0.25283745342271619</c:v>
                </c:pt>
                <c:pt idx="17">
                  <c:v>0.25331354456721916</c:v>
                </c:pt>
                <c:pt idx="18">
                  <c:v>0.25379127373285387</c:v>
                </c:pt>
                <c:pt idx="19">
                  <c:v>0.25427064796781595</c:v>
                </c:pt>
                <c:pt idx="20">
                  <c:v>0.25475167434231788</c:v>
                </c:pt>
                <c:pt idx="21">
                  <c:v>0.25523435994831628</c:v>
                </c:pt>
                <c:pt idx="22">
                  <c:v>0.25571871189922718</c:v>
                </c:pt>
                <c:pt idx="23">
                  <c:v>0.25620473732963062</c:v>
                </c:pt>
                <c:pt idx="24">
                  <c:v>0.25669244339496194</c:v>
                </c:pt>
                <c:pt idx="25">
                  <c:v>0.25718183727119226</c:v>
                </c:pt>
                <c:pt idx="26">
                  <c:v>0.2576729261544955</c:v>
                </c:pt>
                <c:pt idx="27">
                  <c:v>0.25816571726090271</c:v>
                </c:pt>
                <c:pt idx="28">
                  <c:v>0.25866021782594339</c:v>
                </c:pt>
                <c:pt idx="29">
                  <c:v>0.25915643510427255</c:v>
                </c:pt>
                <c:pt idx="30">
                  <c:v>0.25965437636928501</c:v>
                </c:pt>
                <c:pt idx="31">
                  <c:v>0.26015404891271393</c:v>
                </c:pt>
                <c:pt idx="32">
                  <c:v>0.26065546004421597</c:v>
                </c:pt>
                <c:pt idx="33">
                  <c:v>0.26115861709094002</c:v>
                </c:pt>
                <c:pt idx="34">
                  <c:v>0.26166352739708182</c:v>
                </c:pt>
                <c:pt idx="35">
                  <c:v>0.26217019832342148</c:v>
                </c:pt>
                <c:pt idx="36">
                  <c:v>0.26267863724684543</c:v>
                </c:pt>
                <c:pt idx="37">
                  <c:v>0.26318885155985117</c:v>
                </c:pt>
                <c:pt idx="38">
                  <c:v>0.26370084867003518</c:v>
                </c:pt>
                <c:pt idx="39">
                  <c:v>0.26421463599956302</c:v>
                </c:pt>
                <c:pt idx="40">
                  <c:v>0.26473022098462096</c:v>
                </c:pt>
                <c:pt idx="41">
                  <c:v>0.26524761107484968</c:v>
                </c:pt>
                <c:pt idx="42">
                  <c:v>0.26576681373275834</c:v>
                </c:pt>
                <c:pt idx="43">
                  <c:v>0.26628783643311937</c:v>
                </c:pt>
                <c:pt idx="44">
                  <c:v>0.26681068666234309</c:v>
                </c:pt>
                <c:pt idx="45">
                  <c:v>0.26733537191783152</c:v>
                </c:pt>
                <c:pt idx="46">
                  <c:v>0.26786189970731117</c:v>
                </c:pt>
                <c:pt idx="47">
                  <c:v>0.26839027754814437</c:v>
                </c:pt>
                <c:pt idx="48">
                  <c:v>0.26892051296661768</c:v>
                </c:pt>
                <c:pt idx="49">
                  <c:v>0.26945261349720817</c:v>
                </c:pt>
                <c:pt idx="50">
                  <c:v>0.26998658668182551</c:v>
                </c:pt>
                <c:pt idx="51">
                  <c:v>0.27052244006903059</c:v>
                </c:pt>
                <c:pt idx="52">
                  <c:v>0.27106018121322889</c:v>
                </c:pt>
                <c:pt idx="53">
                  <c:v>0.27159981767383906</c:v>
                </c:pt>
                <c:pt idx="54">
                  <c:v>0.27214135701443504</c:v>
                </c:pt>
                <c:pt idx="55">
                  <c:v>0.27268480680186147</c:v>
                </c:pt>
                <c:pt idx="56">
                  <c:v>0.27323017460532212</c:v>
                </c:pt>
                <c:pt idx="57">
                  <c:v>0.27377746799543984</c:v>
                </c:pt>
                <c:pt idx="58">
                  <c:v>0.27432669454328762</c:v>
                </c:pt>
                <c:pt idx="59">
                  <c:v>0.27487786181939067</c:v>
                </c:pt>
                <c:pt idx="60">
                  <c:v>0.27543097739269712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533-44F3-8C6B-0481AA604EFA}"/>
            </c:ext>
          </c:extLst>
        </c:ser>
        <c:ser>
          <c:idx val="3"/>
          <c:order val="3"/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COMMENTS'!$H$6:$BP$6</c:f>
              <c:numCache>
                <c:formatCode>0.00%</c:formatCode>
                <c:ptCount val="61"/>
                <c:pt idx="0">
                  <c:v>0.24543710366392282</c:v>
                </c:pt>
                <c:pt idx="1">
                  <c:v>0.24588792616053645</c:v>
                </c:pt>
                <c:pt idx="2">
                  <c:v>0.24634027708480746</c:v>
                </c:pt>
                <c:pt idx="3">
                  <c:v>0.24679416310367844</c:v>
                </c:pt>
                <c:pt idx="4">
                  <c:v>0.24724959090916127</c:v>
                </c:pt>
                <c:pt idx="5">
                  <c:v>0.24770656721820902</c:v>
                </c:pt>
                <c:pt idx="6">
                  <c:v>0.24816509877258114</c:v>
                </c:pt>
                <c:pt idx="7">
                  <c:v>0.24862519233870026</c:v>
                </c:pt>
                <c:pt idx="8">
                  <c:v>0.24908685470750211</c:v>
                </c:pt>
                <c:pt idx="9">
                  <c:v>0.24955009269427655</c:v>
                </c:pt>
                <c:pt idx="10">
                  <c:v>0.25001491313850133</c:v>
                </c:pt>
                <c:pt idx="11">
                  <c:v>0.25048132290366643</c:v>
                </c:pt>
                <c:pt idx="12">
                  <c:v>0.25094932887709087</c:v>
                </c:pt>
                <c:pt idx="13">
                  <c:v>0.25141893796972942</c:v>
                </c:pt>
                <c:pt idx="14">
                  <c:v>0.25189015711597146</c:v>
                </c:pt>
                <c:pt idx="15">
                  <c:v>0.25236299327342893</c:v>
                </c:pt>
                <c:pt idx="16">
                  <c:v>0.25283745342271619</c:v>
                </c:pt>
                <c:pt idx="17">
                  <c:v>0.25331354456721916</c:v>
                </c:pt>
                <c:pt idx="18">
                  <c:v>0.25379127373285387</c:v>
                </c:pt>
                <c:pt idx="19">
                  <c:v>0.25427064796781595</c:v>
                </c:pt>
                <c:pt idx="20">
                  <c:v>0.25475167434231788</c:v>
                </c:pt>
                <c:pt idx="21">
                  <c:v>0.25523435994831628</c:v>
                </c:pt>
                <c:pt idx="22">
                  <c:v>0.25571871189922718</c:v>
                </c:pt>
                <c:pt idx="23">
                  <c:v>0.25620473732963062</c:v>
                </c:pt>
                <c:pt idx="24">
                  <c:v>0.25669244339496194</c:v>
                </c:pt>
                <c:pt idx="25">
                  <c:v>0.25718183727119226</c:v>
                </c:pt>
                <c:pt idx="26">
                  <c:v>0.2576729261544955</c:v>
                </c:pt>
                <c:pt idx="27">
                  <c:v>0.25816571726090271</c:v>
                </c:pt>
                <c:pt idx="28">
                  <c:v>0.25866021782594339</c:v>
                </c:pt>
                <c:pt idx="29">
                  <c:v>0.25915643510427255</c:v>
                </c:pt>
                <c:pt idx="30">
                  <c:v>0.25965437636928501</c:v>
                </c:pt>
                <c:pt idx="31">
                  <c:v>0.26015404891271393</c:v>
                </c:pt>
                <c:pt idx="32">
                  <c:v>0.26065546004421597</c:v>
                </c:pt>
                <c:pt idx="33">
                  <c:v>0.26115861709094002</c:v>
                </c:pt>
                <c:pt idx="34">
                  <c:v>0.26166352739708182</c:v>
                </c:pt>
                <c:pt idx="35">
                  <c:v>0.26217019832342148</c:v>
                </c:pt>
                <c:pt idx="36">
                  <c:v>0.26267863724684543</c:v>
                </c:pt>
                <c:pt idx="37">
                  <c:v>0.26318885155985117</c:v>
                </c:pt>
                <c:pt idx="38">
                  <c:v>0.26370084867003518</c:v>
                </c:pt>
                <c:pt idx="39">
                  <c:v>0.26421463599956302</c:v>
                </c:pt>
                <c:pt idx="40">
                  <c:v>0.26473022098462096</c:v>
                </c:pt>
                <c:pt idx="41">
                  <c:v>0.26524761107484968</c:v>
                </c:pt>
                <c:pt idx="42">
                  <c:v>0.26576681373275834</c:v>
                </c:pt>
                <c:pt idx="43">
                  <c:v>0.26628783643311937</c:v>
                </c:pt>
                <c:pt idx="44">
                  <c:v>0.26681068666234309</c:v>
                </c:pt>
                <c:pt idx="45">
                  <c:v>0.26733537191783152</c:v>
                </c:pt>
                <c:pt idx="46">
                  <c:v>0.26786189970731117</c:v>
                </c:pt>
                <c:pt idx="47">
                  <c:v>0.26839027754814437</c:v>
                </c:pt>
                <c:pt idx="48">
                  <c:v>0.26892051296661768</c:v>
                </c:pt>
                <c:pt idx="49">
                  <c:v>0.26945261349720817</c:v>
                </c:pt>
                <c:pt idx="50">
                  <c:v>0.26998658668182551</c:v>
                </c:pt>
                <c:pt idx="51">
                  <c:v>0.27052244006903059</c:v>
                </c:pt>
                <c:pt idx="52">
                  <c:v>0.27106018121322889</c:v>
                </c:pt>
                <c:pt idx="53">
                  <c:v>0.27159981767383906</c:v>
                </c:pt>
                <c:pt idx="54">
                  <c:v>0.27214135701443504</c:v>
                </c:pt>
                <c:pt idx="55">
                  <c:v>0.27268480680186147</c:v>
                </c:pt>
                <c:pt idx="56">
                  <c:v>0.27323017460532212</c:v>
                </c:pt>
                <c:pt idx="57">
                  <c:v>0.27377746799543984</c:v>
                </c:pt>
                <c:pt idx="58">
                  <c:v>0.27432669454328762</c:v>
                </c:pt>
                <c:pt idx="59">
                  <c:v>0.27487786181939067</c:v>
                </c:pt>
                <c:pt idx="60">
                  <c:v>0.27543097739269712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533-44F3-8C6B-0481AA604EFA}"/>
            </c:ext>
          </c:extLst>
        </c:ser>
        <c:ser>
          <c:idx val="4"/>
          <c:order val="4"/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COMMENTS'!$H$7:$BP$7</c:f>
              <c:numCache>
                <c:formatCode>0.00%</c:formatCode>
                <c:ptCount val="61"/>
                <c:pt idx="0">
                  <c:v>0.24543710366392282</c:v>
                </c:pt>
                <c:pt idx="1">
                  <c:v>0.24588792616053645</c:v>
                </c:pt>
                <c:pt idx="2">
                  <c:v>0.24634027708480746</c:v>
                </c:pt>
                <c:pt idx="3">
                  <c:v>0.24679416310367844</c:v>
                </c:pt>
                <c:pt idx="4">
                  <c:v>0.24724959090916127</c:v>
                </c:pt>
                <c:pt idx="5">
                  <c:v>0.24770656721820902</c:v>
                </c:pt>
                <c:pt idx="6">
                  <c:v>0.24816509877258114</c:v>
                </c:pt>
                <c:pt idx="7">
                  <c:v>0.24862519233870026</c:v>
                </c:pt>
                <c:pt idx="8">
                  <c:v>0.24908685470750211</c:v>
                </c:pt>
                <c:pt idx="9">
                  <c:v>0.24955009269427655</c:v>
                </c:pt>
                <c:pt idx="10">
                  <c:v>0.25001491313850133</c:v>
                </c:pt>
                <c:pt idx="11">
                  <c:v>0.25048132290366643</c:v>
                </c:pt>
                <c:pt idx="12">
                  <c:v>0.25094932887709087</c:v>
                </c:pt>
                <c:pt idx="13">
                  <c:v>0.25141893796972942</c:v>
                </c:pt>
                <c:pt idx="14">
                  <c:v>0.25189015711597146</c:v>
                </c:pt>
                <c:pt idx="15">
                  <c:v>0.25236299327342893</c:v>
                </c:pt>
                <c:pt idx="16">
                  <c:v>0.25283745342271619</c:v>
                </c:pt>
                <c:pt idx="17">
                  <c:v>0.25331354456721916</c:v>
                </c:pt>
                <c:pt idx="18">
                  <c:v>0.25379127373285387</c:v>
                </c:pt>
                <c:pt idx="19">
                  <c:v>0.25427064796781595</c:v>
                </c:pt>
                <c:pt idx="20">
                  <c:v>0.25475167434231788</c:v>
                </c:pt>
                <c:pt idx="21">
                  <c:v>0.25523435994831628</c:v>
                </c:pt>
                <c:pt idx="22">
                  <c:v>0.25571871189922718</c:v>
                </c:pt>
                <c:pt idx="23">
                  <c:v>0.25620473732963062</c:v>
                </c:pt>
                <c:pt idx="24">
                  <c:v>0.25669244339496194</c:v>
                </c:pt>
                <c:pt idx="25">
                  <c:v>0.25718183727119226</c:v>
                </c:pt>
                <c:pt idx="26">
                  <c:v>0.2576729261544955</c:v>
                </c:pt>
                <c:pt idx="27">
                  <c:v>0.25816571726090271</c:v>
                </c:pt>
                <c:pt idx="28">
                  <c:v>0.25866021782594339</c:v>
                </c:pt>
                <c:pt idx="29">
                  <c:v>0.25915643510427255</c:v>
                </c:pt>
                <c:pt idx="30">
                  <c:v>0.25965437636928501</c:v>
                </c:pt>
                <c:pt idx="31">
                  <c:v>0.26015404891271393</c:v>
                </c:pt>
                <c:pt idx="32">
                  <c:v>0.26065546004421597</c:v>
                </c:pt>
                <c:pt idx="33">
                  <c:v>0.26115861709094002</c:v>
                </c:pt>
                <c:pt idx="34">
                  <c:v>0.26166352739708182</c:v>
                </c:pt>
                <c:pt idx="35">
                  <c:v>0.26217019832342148</c:v>
                </c:pt>
                <c:pt idx="36">
                  <c:v>0.26267863724684543</c:v>
                </c:pt>
                <c:pt idx="37">
                  <c:v>0.26318885155985117</c:v>
                </c:pt>
                <c:pt idx="38">
                  <c:v>0.26370084867003518</c:v>
                </c:pt>
                <c:pt idx="39">
                  <c:v>0.26421463599956302</c:v>
                </c:pt>
                <c:pt idx="40">
                  <c:v>0.26473022098462096</c:v>
                </c:pt>
                <c:pt idx="41">
                  <c:v>0.26524761107484968</c:v>
                </c:pt>
                <c:pt idx="42">
                  <c:v>0.26576681373275834</c:v>
                </c:pt>
                <c:pt idx="43">
                  <c:v>0.26628783643311937</c:v>
                </c:pt>
                <c:pt idx="44">
                  <c:v>0.26681068666234309</c:v>
                </c:pt>
                <c:pt idx="45">
                  <c:v>0.26733537191783152</c:v>
                </c:pt>
                <c:pt idx="46">
                  <c:v>0.26786189970731117</c:v>
                </c:pt>
                <c:pt idx="47">
                  <c:v>0.26839027754814437</c:v>
                </c:pt>
                <c:pt idx="48">
                  <c:v>0.26892051296661768</c:v>
                </c:pt>
                <c:pt idx="49">
                  <c:v>0.26945261349720817</c:v>
                </c:pt>
                <c:pt idx="50">
                  <c:v>0.26998658668182551</c:v>
                </c:pt>
                <c:pt idx="51">
                  <c:v>0.27052244006903059</c:v>
                </c:pt>
                <c:pt idx="52">
                  <c:v>0.27106018121322889</c:v>
                </c:pt>
                <c:pt idx="53">
                  <c:v>0.27159981767383906</c:v>
                </c:pt>
                <c:pt idx="54">
                  <c:v>0.27214135701443504</c:v>
                </c:pt>
                <c:pt idx="55">
                  <c:v>0.27268480680186147</c:v>
                </c:pt>
                <c:pt idx="56">
                  <c:v>0.27323017460532212</c:v>
                </c:pt>
                <c:pt idx="57">
                  <c:v>0.27377746799543984</c:v>
                </c:pt>
                <c:pt idx="58">
                  <c:v>0.27432669454328762</c:v>
                </c:pt>
                <c:pt idx="59">
                  <c:v>0.27487786181939067</c:v>
                </c:pt>
                <c:pt idx="60">
                  <c:v>0.27543097739269712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533-44F3-8C6B-0481AA604EFA}"/>
            </c:ext>
          </c:extLst>
        </c:ser>
        <c:ser>
          <c:idx val="5"/>
          <c:order val="5"/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val>
            <c:numRef>
              <c:f>'PB COMMENTS'!$H$8:$BP$8</c:f>
              <c:numCache>
                <c:formatCode>0.00%</c:formatCode>
                <c:ptCount val="61"/>
                <c:pt idx="0">
                  <c:v>0.41502167545910412</c:v>
                </c:pt>
                <c:pt idx="1">
                  <c:v>0.40746431161349866</c:v>
                </c:pt>
                <c:pt idx="2">
                  <c:v>0.4000846216179641</c:v>
                </c:pt>
                <c:pt idx="3">
                  <c:v>0.39298793949462857</c:v>
                </c:pt>
                <c:pt idx="4">
                  <c:v>0.3862378346610621</c:v>
                </c:pt>
                <c:pt idx="5">
                  <c:v>0.37986901169689496</c:v>
                </c:pt>
                <c:pt idx="6">
                  <c:v>0.3738966440830685</c:v>
                </c:pt>
                <c:pt idx="7">
                  <c:v>0.36832293426126611</c:v>
                </c:pt>
                <c:pt idx="8">
                  <c:v>0.36314166179179347</c:v>
                </c:pt>
                <c:pt idx="9">
                  <c:v>0.3583413085883857</c:v>
                </c:pt>
                <c:pt idx="10">
                  <c:v>0.35390719066550858</c:v>
                </c:pt>
                <c:pt idx="11">
                  <c:v>0.34982290073402872</c:v>
                </c:pt>
                <c:pt idx="12">
                  <c:v>0.34607127430975465</c:v>
                </c:pt>
                <c:pt idx="13">
                  <c:v>0.34263502696889409</c:v>
                </c:pt>
                <c:pt idx="14">
                  <c:v>0.33949716498762272</c:v>
                </c:pt>
                <c:pt idx="15">
                  <c:v>0.33664124014780605</c:v>
                </c:pt>
                <c:pt idx="16">
                  <c:v>0.3340514977541158</c:v>
                </c:pt>
                <c:pt idx="17">
                  <c:v>0.33171295188595634</c:v>
                </c:pt>
                <c:pt idx="18">
                  <c:v>0.32961141151002393</c:v>
                </c:pt>
                <c:pt idx="19">
                  <c:v>0.32773347386565932</c:v>
                </c:pt>
                <c:pt idx="20">
                  <c:v>0.326066496517533</c:v>
                </c:pt>
                <c:pt idx="21">
                  <c:v>0.32459855597152959</c:v>
                </c:pt>
                <c:pt idx="22">
                  <c:v>0.32331839830522102</c:v>
                </c:pt>
                <c:pt idx="23">
                  <c:v>0.3222153855541896</c:v>
                </c:pt>
                <c:pt idx="24">
                  <c:v>0.32127944039871154</c:v>
                </c:pt>
                <c:pt idx="25">
                  <c:v>0.32050099085874573</c:v>
                </c:pt>
                <c:pt idx="26">
                  <c:v>0.31987091612208257</c:v>
                </c:pt>
                <c:pt idx="27">
                  <c:v>0.31938049422628217</c:v>
                </c:pt>
                <c:pt idx="28">
                  <c:v>0.31902135203727755</c:v>
                </c:pt>
                <c:pt idx="29">
                  <c:v>0.31878541777928449</c:v>
                </c:pt>
                <c:pt idx="30">
                  <c:v>0.3186648762457916</c:v>
                </c:pt>
                <c:pt idx="31">
                  <c:v>0.31865212674129878</c:v>
                </c:pt>
                <c:pt idx="32">
                  <c:v>0.3187397437548608</c:v>
                </c:pt>
                <c:pt idx="33">
                  <c:v>0.31892044033982819</c:v>
                </c:pt>
                <c:pt idx="34">
                  <c:v>0.31918703416261118</c:v>
                </c:pt>
                <c:pt idx="35">
                  <c:v>0.31953241618180639</c:v>
                </c:pt>
                <c:pt idx="36">
                  <c:v>0.31994952192397969</c:v>
                </c:pt>
                <c:pt idx="37">
                  <c:v>0.32043130533109326</c:v>
                </c:pt>
                <c:pt idx="38">
                  <c:v>0.32097071516497871</c:v>
                </c:pt>
                <c:pt idx="39">
                  <c:v>0.32156067396489035</c:v>
                </c:pt>
                <c:pt idx="40">
                  <c:v>0.32219405956389563</c:v>
                </c:pt>
                <c:pt idx="41">
                  <c:v>0.32286368917782127</c:v>
                </c:pt>
                <c:pt idx="42">
                  <c:v>0.32356230608609804</c:v>
                </c:pt>
                <c:pt idx="43">
                  <c:v>0.32428256892675206</c:v>
                </c:pt>
                <c:pt idx="44">
                  <c:v>0.32501704362780254</c:v>
                </c:pt>
                <c:pt idx="45">
                  <c:v>0.32575819799449873</c:v>
                </c:pt>
                <c:pt idx="46">
                  <c:v>0.32649839896638683</c:v>
                </c:pt>
                <c:pt idx="47">
                  <c:v>0.32722991255061729</c:v>
                </c:pt>
                <c:pt idx="48">
                  <c:v>0.32794490642883795</c:v>
                </c:pt>
                <c:pt idx="49">
                  <c:v>0.32863545522533116</c:v>
                </c:pt>
                <c:pt idx="50">
                  <c:v>0.32929354841476582</c:v>
                </c:pt>
                <c:pt idx="51">
                  <c:v>0.32991110084016995</c:v>
                </c:pt>
                <c:pt idx="52">
                  <c:v>0.33047996580666095</c:v>
                </c:pt>
                <c:pt idx="53">
                  <c:v>0.33099195071518112</c:v>
                </c:pt>
                <c:pt idx="54">
                  <c:v>0.33143883520389222</c:v>
                </c:pt>
                <c:pt idx="55">
                  <c:v>0.33181239177353516</c:v>
                </c:pt>
                <c:pt idx="56">
                  <c:v>0.33210440888704307</c:v>
                </c:pt>
                <c:pt idx="57">
                  <c:v>0.33230671655243121</c:v>
                </c:pt>
                <c:pt idx="58">
                  <c:v>0.33241121442011434</c:v>
                </c:pt>
                <c:pt idx="59">
                  <c:v>0.33240990244910357</c:v>
                </c:pt>
                <c:pt idx="60">
                  <c:v>0.332294914217872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533-44F3-8C6B-0481AA604EFA}"/>
            </c:ext>
          </c:extLst>
        </c:ser>
        <c:ser>
          <c:idx val="6"/>
          <c:order val="6"/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'PB COMMENTS'!$H$9:$BP$9</c:f>
              <c:numCache>
                <c:formatCode>0.00%</c:formatCode>
                <c:ptCount val="61"/>
                <c:pt idx="0">
                  <c:v>0.31512404452781795</c:v>
                </c:pt>
                <c:pt idx="1">
                  <c:v>0.31231197364851887</c:v>
                </c:pt>
                <c:pt idx="2">
                  <c:v>0.30969312869773225</c:v>
                </c:pt>
                <c:pt idx="3">
                  <c:v>0.30725759686320681</c:v>
                </c:pt>
                <c:pt idx="4">
                  <c:v>0.3049960721601444</c:v>
                </c:pt>
                <c:pt idx="5">
                  <c:v>0.30289980368592373</c:v>
                </c:pt>
                <c:pt idx="6">
                  <c:v>0.30096056823702894</c:v>
                </c:pt>
                <c:pt idx="7">
                  <c:v>0.29917064037524022</c:v>
                </c:pt>
                <c:pt idx="8">
                  <c:v>0.29752276132833388</c:v>
                </c:pt>
                <c:pt idx="9">
                  <c:v>0.29601010768833513</c:v>
                </c:pt>
                <c:pt idx="10">
                  <c:v>0.29462626056442587</c:v>
                </c:pt>
                <c:pt idx="11">
                  <c:v>0.29336517562641906</c:v>
                </c:pt>
                <c:pt idx="12">
                  <c:v>0.29222115431539758</c:v>
                </c:pt>
                <c:pt idx="13">
                  <c:v>0.29118881638405425</c:v>
                </c:pt>
                <c:pt idx="14">
                  <c:v>0.29026307384831601</c:v>
                </c:pt>
                <c:pt idx="15">
                  <c:v>0.28943910637510673</c:v>
                </c:pt>
                <c:pt idx="16">
                  <c:v>0.28871233809209373</c:v>
                </c:pt>
                <c:pt idx="17">
                  <c:v>0.28807841577918303</c:v>
                </c:pt>
                <c:pt idx="18">
                  <c:v>0.28753318838485986</c:v>
                </c:pt>
                <c:pt idx="19">
                  <c:v>0.28707268780062284</c:v>
                </c:pt>
                <c:pt idx="20">
                  <c:v>0.28669311082182447</c:v>
                </c:pt>
                <c:pt idx="21">
                  <c:v>0.28639080222179691</c:v>
                </c:pt>
                <c:pt idx="22">
                  <c:v>0.28616223886717956</c:v>
                </c:pt>
                <c:pt idx="23">
                  <c:v>0.2860040148051135</c:v>
                </c:pt>
                <c:pt idx="24">
                  <c:v>0.28591282725686962</c:v>
                </c:pt>
                <c:pt idx="25">
                  <c:v>0.28588546345712496</c:v>
                </c:pt>
                <c:pt idx="26">
                  <c:v>0.28591878828319883</c:v>
                </c:pt>
                <c:pt idx="27">
                  <c:v>0.28600973262390073</c:v>
                </c:pt>
                <c:pt idx="28">
                  <c:v>0.28615528244305727</c:v>
                </c:pt>
                <c:pt idx="29">
                  <c:v>0.28635246849817902</c:v>
                </c:pt>
                <c:pt idx="30">
                  <c:v>0.28659835668001549</c:v>
                </c:pt>
                <c:pt idx="31">
                  <c:v>0.28689003894386689</c:v>
                </c:pt>
                <c:pt idx="32">
                  <c:v>0.28722462480845024</c:v>
                </c:pt>
                <c:pt idx="33">
                  <c:v>0.2875992334028013</c:v>
                </c:pt>
                <c:pt idx="34">
                  <c:v>0.28801098604613845</c:v>
                </c:pt>
                <c:pt idx="35">
                  <c:v>0.28845699934977886</c:v>
                </c:pt>
                <c:pt idx="36">
                  <c:v>0.28893437883408096</c:v>
                </c:pt>
                <c:pt idx="37">
                  <c:v>0.28944021305697287</c:v>
                </c:pt>
                <c:pt idx="38">
                  <c:v>0.28997156825390069</c:v>
                </c:pt>
                <c:pt idx="39">
                  <c:v>0.29052548349198315</c:v>
                </c:pt>
                <c:pt idx="40">
                  <c:v>0.29109896634377785</c:v>
                </c:pt>
                <c:pt idx="41">
                  <c:v>0.29168898908834057</c:v>
                </c:pt>
                <c:pt idx="42">
                  <c:v>0.29229248544918041</c:v>
                </c:pt>
                <c:pt idx="43">
                  <c:v>0.29290634788027187</c:v>
                </c:pt>
                <c:pt idx="44">
                  <c:v>0.29352742541247889</c:v>
                </c:pt>
                <c:pt idx="45">
                  <c:v>0.29415252207357001</c:v>
                </c:pt>
                <c:pt idx="46">
                  <c:v>0.29477839589545518</c:v>
                </c:pt>
                <c:pt idx="47">
                  <c:v>0.29540175852237238</c:v>
                </c:pt>
                <c:pt idx="48">
                  <c:v>0.29601927543349282</c:v>
                </c:pt>
                <c:pt idx="49">
                  <c:v>0.29662756679282276</c:v>
                </c:pt>
                <c:pt idx="50">
                  <c:v>0.29722320893838222</c:v>
                </c:pt>
                <c:pt idx="51">
                  <c:v>0.29780273652145406</c:v>
                </c:pt>
                <c:pt idx="52">
                  <c:v>0.29836264530526935</c:v>
                </c:pt>
                <c:pt idx="53">
                  <c:v>0.29889939563084361</c:v>
                </c:pt>
                <c:pt idx="54">
                  <c:v>0.29940941655586806</c:v>
                </c:pt>
                <c:pt idx="55">
                  <c:v>0.29988911067059976</c:v>
                </c:pt>
                <c:pt idx="56">
                  <c:v>0.3003348595926425</c:v>
                </c:pt>
                <c:pt idx="57">
                  <c:v>0.30074303014038839</c:v>
                </c:pt>
                <c:pt idx="58">
                  <c:v>0.30110998118271198</c:v>
                </c:pt>
                <c:pt idx="59">
                  <c:v>0.30143207116029613</c:v>
                </c:pt>
                <c:pt idx="60">
                  <c:v>0.30170566627169493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533-44F3-8C6B-0481AA604E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69424000"/>
        <c:axId val="369429576"/>
      </c:lineChart>
      <c:catAx>
        <c:axId val="36942400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9429576"/>
        <c:crosses val="autoZero"/>
        <c:auto val="1"/>
        <c:lblAlgn val="ctr"/>
        <c:lblOffset val="100"/>
        <c:noMultiLvlLbl val="0"/>
      </c:catAx>
      <c:valAx>
        <c:axId val="369429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94240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/>
            </a:pPr>
            <a:r>
              <a:rPr lang="en-GB" sz="1200"/>
              <a:t>UK road</a:t>
            </a:r>
            <a:r>
              <a:rPr lang="en-GB" sz="1200" baseline="0"/>
              <a:t> vehicle fuel economy</a:t>
            </a:r>
            <a:endParaRPr lang="en-GB" sz="1200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9874836409190921"/>
          <c:y val="0.29553441236512101"/>
          <c:w val="0.73968348930235783"/>
          <c:h val="0.61163385826771655"/>
        </c:manualLayout>
      </c:layout>
      <c:lineChart>
        <c:grouping val="standard"/>
        <c:varyColors val="0"/>
        <c:ser>
          <c:idx val="0"/>
          <c:order val="0"/>
          <c:tx>
            <c:strRef>
              <c:f>'1_UK stats HDVs'!$C$257</c:f>
              <c:strCache>
                <c:ptCount val="1"/>
                <c:pt idx="0">
                  <c:v>total petrol mpg (UK Gallon)</c:v>
                </c:pt>
              </c:strCache>
            </c:strRef>
          </c:tx>
          <c:marker>
            <c:symbol val="none"/>
          </c:marker>
          <c:cat>
            <c:numRef>
              <c:f>'1_UK stats HDVs'!$D$249:$BB$249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HDVs'!$D$257:$BB$257</c:f>
              <c:numCache>
                <c:formatCode>0.00</c:formatCode>
                <c:ptCount val="51"/>
                <c:pt idx="0">
                  <c:v>29.22824567507244</c:v>
                </c:pt>
                <c:pt idx="1">
                  <c:v>29.22824567507244</c:v>
                </c:pt>
                <c:pt idx="2">
                  <c:v>29.22824567507244</c:v>
                </c:pt>
                <c:pt idx="3">
                  <c:v>29.228245675072444</c:v>
                </c:pt>
                <c:pt idx="4">
                  <c:v>29.22824567507244</c:v>
                </c:pt>
                <c:pt idx="5">
                  <c:v>29.228245675072444</c:v>
                </c:pt>
                <c:pt idx="6">
                  <c:v>29.228245675072436</c:v>
                </c:pt>
                <c:pt idx="7">
                  <c:v>29.228245675072444</c:v>
                </c:pt>
                <c:pt idx="8">
                  <c:v>29.228245675072444</c:v>
                </c:pt>
                <c:pt idx="9">
                  <c:v>29.22824567507244</c:v>
                </c:pt>
                <c:pt idx="10">
                  <c:v>29.279379467256515</c:v>
                </c:pt>
                <c:pt idx="11">
                  <c:v>29.507734347706105</c:v>
                </c:pt>
                <c:pt idx="12">
                  <c:v>29.269553485457141</c:v>
                </c:pt>
                <c:pt idx="13">
                  <c:v>28.890112487363552</c:v>
                </c:pt>
                <c:pt idx="14">
                  <c:v>29.170180527805982</c:v>
                </c:pt>
                <c:pt idx="15">
                  <c:v>30.161767647995891</c:v>
                </c:pt>
                <c:pt idx="16">
                  <c:v>30.287230393218085</c:v>
                </c:pt>
                <c:pt idx="17">
                  <c:v>29.983567511900944</c:v>
                </c:pt>
                <c:pt idx="18">
                  <c:v>29.456024903604582</c:v>
                </c:pt>
                <c:pt idx="19">
                  <c:v>28.813681360127546</c:v>
                </c:pt>
                <c:pt idx="20">
                  <c:v>30.005669481885736</c:v>
                </c:pt>
                <c:pt idx="21">
                  <c:v>31.384351519162674</c:v>
                </c:pt>
                <c:pt idx="22">
                  <c:v>31.42899832850647</c:v>
                </c:pt>
                <c:pt idx="23">
                  <c:v>31.266100536070194</c:v>
                </c:pt>
                <c:pt idx="24">
                  <c:v>31.765034597011542</c:v>
                </c:pt>
                <c:pt idx="25">
                  <c:v>32.217672324658096</c:v>
                </c:pt>
                <c:pt idx="26">
                  <c:v>32.112044656165828</c:v>
                </c:pt>
                <c:pt idx="27">
                  <c:v>33.181449960970262</c:v>
                </c:pt>
                <c:pt idx="28">
                  <c:v>33.695618995665583</c:v>
                </c:pt>
                <c:pt idx="29">
                  <c:v>34.894989395176268</c:v>
                </c:pt>
                <c:pt idx="30">
                  <c:v>33.857675777757755</c:v>
                </c:pt>
                <c:pt idx="31">
                  <c:v>33.879207806072223</c:v>
                </c:pt>
                <c:pt idx="32">
                  <c:v>33.3200440286248</c:v>
                </c:pt>
                <c:pt idx="33">
                  <c:v>32.835507778633051</c:v>
                </c:pt>
                <c:pt idx="34">
                  <c:v>33.594987954573391</c:v>
                </c:pt>
                <c:pt idx="35">
                  <c:v>34.526078153565848</c:v>
                </c:pt>
                <c:pt idx="36">
                  <c:v>33.918180599624513</c:v>
                </c:pt>
                <c:pt idx="37">
                  <c:v>34.111989695938583</c:v>
                </c:pt>
                <c:pt idx="38">
                  <c:v>34.867013379961861</c:v>
                </c:pt>
                <c:pt idx="39">
                  <c:v>34.875233954227397</c:v>
                </c:pt>
                <c:pt idx="40">
                  <c:v>34.875535263440192</c:v>
                </c:pt>
                <c:pt idx="41">
                  <c:v>35.35761027644093</c:v>
                </c:pt>
                <c:pt idx="42">
                  <c:v>35.403799206434527</c:v>
                </c:pt>
                <c:pt idx="43">
                  <c:v>35.784768213207542</c:v>
                </c:pt>
                <c:pt idx="44">
                  <c:v>35.833832927723648</c:v>
                </c:pt>
                <c:pt idx="45">
                  <c:v>35.515601223399422</c:v>
                </c:pt>
                <c:pt idx="46">
                  <c:v>35.926964650914805</c:v>
                </c:pt>
                <c:pt idx="47">
                  <c:v>35.718574965292902</c:v>
                </c:pt>
                <c:pt idx="48">
                  <c:v>36.2653519321766</c:v>
                </c:pt>
                <c:pt idx="49">
                  <c:v>37.172570299998455</c:v>
                </c:pt>
                <c:pt idx="50">
                  <c:v>37.681934880426219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39A-45CF-BCF0-E0E5DB6D24AF}"/>
            </c:ext>
          </c:extLst>
        </c:ser>
        <c:ser>
          <c:idx val="1"/>
          <c:order val="1"/>
          <c:tx>
            <c:strRef>
              <c:f>'1_UK stats HDVs'!$C$258</c:f>
              <c:strCache>
                <c:ptCount val="1"/>
                <c:pt idx="0">
                  <c:v>total diesel mpg (UK Gallon)</c:v>
                </c:pt>
              </c:strCache>
            </c:strRef>
          </c:tx>
          <c:marker>
            <c:symbol val="none"/>
          </c:marker>
          <c:cat>
            <c:numRef>
              <c:f>'1_UK stats HDVs'!$D$249:$BB$249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HDVs'!$D$258:$BB$258</c:f>
              <c:numCache>
                <c:formatCode>0.00</c:formatCode>
                <c:ptCount val="51"/>
                <c:pt idx="0">
                  <c:v>14.08396414811236</c:v>
                </c:pt>
                <c:pt idx="1">
                  <c:v>14.083964148112358</c:v>
                </c:pt>
                <c:pt idx="2">
                  <c:v>14.08396414811236</c:v>
                </c:pt>
                <c:pt idx="3">
                  <c:v>14.083964148112358</c:v>
                </c:pt>
                <c:pt idx="4">
                  <c:v>14.083964148112358</c:v>
                </c:pt>
                <c:pt idx="5">
                  <c:v>14.083964148112358</c:v>
                </c:pt>
                <c:pt idx="6">
                  <c:v>14.083964148112358</c:v>
                </c:pt>
                <c:pt idx="7">
                  <c:v>14.083964148112358</c:v>
                </c:pt>
                <c:pt idx="8">
                  <c:v>14.083964148112358</c:v>
                </c:pt>
                <c:pt idx="9">
                  <c:v>14.083964148112356</c:v>
                </c:pt>
                <c:pt idx="10">
                  <c:v>14.040688274771389</c:v>
                </c:pt>
                <c:pt idx="11">
                  <c:v>14.090894460790137</c:v>
                </c:pt>
                <c:pt idx="12">
                  <c:v>14.270689266155694</c:v>
                </c:pt>
                <c:pt idx="13">
                  <c:v>13.97672326877229</c:v>
                </c:pt>
                <c:pt idx="14">
                  <c:v>14.002827317836603</c:v>
                </c:pt>
                <c:pt idx="15">
                  <c:v>14.027600565388843</c:v>
                </c:pt>
                <c:pt idx="16">
                  <c:v>14.088535668596862</c:v>
                </c:pt>
                <c:pt idx="17">
                  <c:v>13.756623150076093</c:v>
                </c:pt>
                <c:pt idx="18">
                  <c:v>13.824085721611151</c:v>
                </c:pt>
                <c:pt idx="19">
                  <c:v>13.472277654256533</c:v>
                </c:pt>
                <c:pt idx="20">
                  <c:v>14.178264349764222</c:v>
                </c:pt>
                <c:pt idx="21">
                  <c:v>14.719116215564542</c:v>
                </c:pt>
                <c:pt idx="22">
                  <c:v>14.236260731169866</c:v>
                </c:pt>
                <c:pt idx="23">
                  <c:v>13.606290184786431</c:v>
                </c:pt>
                <c:pt idx="24">
                  <c:v>13.180694089133224</c:v>
                </c:pt>
                <c:pt idx="25">
                  <c:v>12.795591242718627</c:v>
                </c:pt>
                <c:pt idx="26">
                  <c:v>12.099123418390183</c:v>
                </c:pt>
                <c:pt idx="27">
                  <c:v>12.971706167798938</c:v>
                </c:pt>
                <c:pt idx="28">
                  <c:v>13.301278610127593</c:v>
                </c:pt>
                <c:pt idx="29">
                  <c:v>14.849163171746842</c:v>
                </c:pt>
                <c:pt idx="30">
                  <c:v>16.323825994004149</c:v>
                </c:pt>
                <c:pt idx="31">
                  <c:v>17.375376804094735</c:v>
                </c:pt>
                <c:pt idx="32">
                  <c:v>18.083774166766503</c:v>
                </c:pt>
                <c:pt idx="33">
                  <c:v>19.076994288343791</c:v>
                </c:pt>
                <c:pt idx="34">
                  <c:v>20.508187516144194</c:v>
                </c:pt>
                <c:pt idx="35">
                  <c:v>22.13710611278163</c:v>
                </c:pt>
                <c:pt idx="36">
                  <c:v>22.628147118537179</c:v>
                </c:pt>
                <c:pt idx="37">
                  <c:v>23.469090852951364</c:v>
                </c:pt>
                <c:pt idx="38">
                  <c:v>24.471706391018841</c:v>
                </c:pt>
                <c:pt idx="39">
                  <c:v>25.4752122844037</c:v>
                </c:pt>
                <c:pt idx="40">
                  <c:v>26.087623859280075</c:v>
                </c:pt>
                <c:pt idx="41">
                  <c:v>26.922742927302185</c:v>
                </c:pt>
                <c:pt idx="42">
                  <c:v>27.526658437450191</c:v>
                </c:pt>
                <c:pt idx="43">
                  <c:v>28.268376106937151</c:v>
                </c:pt>
                <c:pt idx="44">
                  <c:v>29.058440572577794</c:v>
                </c:pt>
                <c:pt idx="45">
                  <c:v>29.380224099671487</c:v>
                </c:pt>
                <c:pt idx="46">
                  <c:v>30.290051688790715</c:v>
                </c:pt>
                <c:pt idx="47">
                  <c:v>30.744246502340925</c:v>
                </c:pt>
                <c:pt idx="48">
                  <c:v>32.496360333741215</c:v>
                </c:pt>
                <c:pt idx="49">
                  <c:v>33.557306003492151</c:v>
                </c:pt>
                <c:pt idx="50">
                  <c:v>33.78054063110973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39A-45CF-BCF0-E0E5DB6D24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149440"/>
        <c:axId val="517150976"/>
      </c:lineChart>
      <c:catAx>
        <c:axId val="517149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150976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15097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mpg fuel economy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17149440"/>
        <c:crosses val="autoZero"/>
        <c:crossBetween val="midCat"/>
      </c:valAx>
    </c:plotArea>
    <c:legend>
      <c:legendPos val="t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s/s UK road vehicle - exergy efficiency vs mpUKg 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'1_UK stats HDVs'!$C$95</c:f>
              <c:strCache>
                <c:ptCount val="1"/>
                <c:pt idx="0">
                  <c:v> s/s petrol exergy efficiency y = 10log (0.416mpg) Uk Gallon</c:v>
                </c:pt>
              </c:strCache>
            </c:strRef>
          </c:tx>
          <c:marker>
            <c:symbol val="diamond"/>
            <c:size val="5"/>
          </c:marker>
          <c:dLbls>
            <c:delete val="1"/>
          </c:dLbls>
          <c:xVal>
            <c:numRef>
              <c:f>'1_UK stats HDVs'!$E$94:$T$94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HDVs'!$E$95:$T$95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6.1909333062674279E-2</c:v>
                </c:pt>
                <c:pt idx="2">
                  <c:v>9.2012332629072394E-2</c:v>
                </c:pt>
                <c:pt idx="3">
                  <c:v>0.1096214585346405</c:v>
                </c:pt>
                <c:pt idx="4">
                  <c:v>0.12211533219547049</c:v>
                </c:pt>
                <c:pt idx="5">
                  <c:v>0.13180633349627616</c:v>
                </c:pt>
                <c:pt idx="6">
                  <c:v>0.13972445810103865</c:v>
                </c:pt>
                <c:pt idx="7">
                  <c:v>0.14641913706409995</c:v>
                </c:pt>
                <c:pt idx="8">
                  <c:v>0.15221833176186864</c:v>
                </c:pt>
                <c:pt idx="9">
                  <c:v>0.15733358400660674</c:v>
                </c:pt>
                <c:pt idx="10">
                  <c:v>0.1619093330626743</c:v>
                </c:pt>
                <c:pt idx="11">
                  <c:v>0.1660486015784968</c:v>
                </c:pt>
                <c:pt idx="12">
                  <c:v>0.16982745766743676</c:v>
                </c:pt>
                <c:pt idx="13">
                  <c:v>0.17330366829335794</c:v>
                </c:pt>
                <c:pt idx="14">
                  <c:v>0.17652213663049807</c:v>
                </c:pt>
                <c:pt idx="15">
                  <c:v>0.17951845896824239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9AA-4DFA-ADAC-565D09959795}"/>
            </c:ext>
          </c:extLst>
        </c:ser>
        <c:ser>
          <c:idx val="1"/>
          <c:order val="1"/>
          <c:tx>
            <c:strRef>
              <c:f>'1_UK stats HDVs'!$C$96</c:f>
              <c:strCache>
                <c:ptCount val="1"/>
                <c:pt idx="0">
                  <c:v> s/s diesel exergy efficiency y = 12.5log (0.416mpg) Uk Gallon</c:v>
                </c:pt>
              </c:strCache>
            </c:strRef>
          </c:tx>
          <c:marker>
            <c:symbol val="square"/>
            <c:size val="5"/>
          </c:marker>
          <c:dLbls>
            <c:delete val="1"/>
          </c:dLbls>
          <c:xVal>
            <c:numRef>
              <c:f>'1_UK stats HDVs'!$E$94:$T$94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HDVs'!$E$96:$T$96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7.7386666328342846E-2</c:v>
                </c:pt>
                <c:pt idx="2">
                  <c:v>0.11501541578634049</c:v>
                </c:pt>
                <c:pt idx="3">
                  <c:v>0.13702682316830064</c:v>
                </c:pt>
                <c:pt idx="4">
                  <c:v>0.15264416524433813</c:v>
                </c:pt>
                <c:pt idx="5">
                  <c:v>0.16475791687034519</c:v>
                </c:pt>
                <c:pt idx="6">
                  <c:v>0.1746555726262983</c:v>
                </c:pt>
                <c:pt idx="7">
                  <c:v>0.18302392133012493</c:v>
                </c:pt>
                <c:pt idx="8">
                  <c:v>0.19027291470233579</c:v>
                </c:pt>
                <c:pt idx="9">
                  <c:v>0.19666698000825844</c:v>
                </c:pt>
                <c:pt idx="10">
                  <c:v>0.20238666632834285</c:v>
                </c:pt>
                <c:pt idx="11">
                  <c:v>0.20756075197312096</c:v>
                </c:pt>
                <c:pt idx="12">
                  <c:v>0.21228432208429593</c:v>
                </c:pt>
                <c:pt idx="13">
                  <c:v>0.21662958536669744</c:v>
                </c:pt>
                <c:pt idx="14">
                  <c:v>0.22065267078812259</c:v>
                </c:pt>
                <c:pt idx="15">
                  <c:v>0.22439807371030299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9AA-4DFA-ADAC-565D09959795}"/>
            </c:ext>
          </c:extLst>
        </c:ser>
        <c:ser>
          <c:idx val="2"/>
          <c:order val="2"/>
          <c:tx>
            <c:strRef>
              <c:f>'1_UK stats HDVs'!$C$100</c:f>
              <c:strCache>
                <c:ptCount val="1"/>
                <c:pt idx="0">
                  <c:v>Ayres &amp; warr y = 0.52xmpg (US Gallon)</c:v>
                </c:pt>
              </c:strCache>
            </c:strRef>
          </c:tx>
          <c:spPr>
            <a:ln w="19050"/>
          </c:spPr>
          <c:marker>
            <c:symbol val="triangle"/>
            <c:size val="5"/>
          </c:marker>
          <c:dLbls>
            <c:delete val="1"/>
          </c:dLbls>
          <c:xVal>
            <c:numRef>
              <c:f>'1_UK stats HDVs'!$E$94:$O$94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xVal>
          <c:yVal>
            <c:numRef>
              <c:f>'1_UK stats HDVs'!$E$100:$O$100</c:f>
              <c:numCache>
                <c:formatCode>0.00%</c:formatCode>
                <c:ptCount val="11"/>
                <c:pt idx="0">
                  <c:v>0</c:v>
                </c:pt>
                <c:pt idx="1">
                  <c:v>5.1999999999999998E-2</c:v>
                </c:pt>
                <c:pt idx="2">
                  <c:v>0.104</c:v>
                </c:pt>
                <c:pt idx="3">
                  <c:v>0.156</c:v>
                </c:pt>
                <c:pt idx="4">
                  <c:v>0.20799999999999999</c:v>
                </c:pt>
                <c:pt idx="5">
                  <c:v>0.26</c:v>
                </c:pt>
                <c:pt idx="6">
                  <c:v>0.312</c:v>
                </c:pt>
                <c:pt idx="7">
                  <c:v>0.36399999999999999</c:v>
                </c:pt>
                <c:pt idx="8">
                  <c:v>0.41599999999999998</c:v>
                </c:pt>
                <c:pt idx="9">
                  <c:v>0.46799999999999997</c:v>
                </c:pt>
                <c:pt idx="10">
                  <c:v>0.52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9AA-4DFA-ADAC-565D09959795}"/>
            </c:ext>
          </c:extLst>
        </c:ser>
        <c:ser>
          <c:idx val="3"/>
          <c:order val="3"/>
          <c:tx>
            <c:strRef>
              <c:f>'1_UK stats HDVs'!$C$97</c:f>
              <c:strCache>
                <c:ptCount val="1"/>
                <c:pt idx="0">
                  <c:v>s/s - diesel exergy efficiency #2 y = 8log (mpgx1.25) Uk Gallon</c:v>
                </c:pt>
              </c:strCache>
            </c:strRef>
          </c:tx>
          <c:dLbls>
            <c:delete val="1"/>
          </c:dLbls>
          <c:xVal>
            <c:numRef>
              <c:f>'1_UK stats HDVs'!$E$94:$T$94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HDVs'!$E$97:$T$97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8.7752801040644521E-2</c:v>
                </c:pt>
                <c:pt idx="2">
                  <c:v>0.11183520069376301</c:v>
                </c:pt>
                <c:pt idx="3">
                  <c:v>0.12592250141821751</c:v>
                </c:pt>
                <c:pt idx="4">
                  <c:v>0.1359176003468815</c:v>
                </c:pt>
                <c:pt idx="5">
                  <c:v>0.14367040138752601</c:v>
                </c:pt>
                <c:pt idx="6">
                  <c:v>0.15000490107133602</c:v>
                </c:pt>
                <c:pt idx="7">
                  <c:v>0.15536064424178506</c:v>
                </c:pt>
                <c:pt idx="8">
                  <c:v>0.16</c:v>
                </c:pt>
                <c:pt idx="9">
                  <c:v>0.16409220179579051</c:v>
                </c:pt>
                <c:pt idx="10">
                  <c:v>0.16775280104064449</c:v>
                </c:pt>
                <c:pt idx="11">
                  <c:v>0.17106421585330253</c:v>
                </c:pt>
                <c:pt idx="12">
                  <c:v>0.1740873007244545</c:v>
                </c:pt>
                <c:pt idx="13">
                  <c:v>0.17686826922519144</c:v>
                </c:pt>
                <c:pt idx="14">
                  <c:v>0.17944304389490356</c:v>
                </c:pt>
                <c:pt idx="15">
                  <c:v>0.18184010176509902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A9AA-4DFA-ADAC-565D09959795}"/>
            </c:ext>
          </c:extLst>
        </c:ser>
        <c:ser>
          <c:idx val="4"/>
          <c:order val="4"/>
          <c:tx>
            <c:strRef>
              <c:f>'1_UK stats HDVs'!$C$98:$C$99</c:f>
              <c:strCache>
                <c:ptCount val="1"/>
                <c:pt idx="0">
                  <c:v> s/s petrol exergy efficiency y = 16.8log (0.1916mpUKg)  s/s diesel exergy efficiency y = 21log (0.1916mpUKg)</c:v>
                </c:pt>
              </c:strCache>
            </c:strRef>
          </c:tx>
          <c:dLbls>
            <c:delete val="1"/>
          </c:dLbls>
          <c:xVal>
            <c:numRef>
              <c:f>'1_UK stats HDVs'!$E$94:$T$94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HDVs'!$E$98:$T$98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4.744244479674431E-2</c:v>
                </c:pt>
                <c:pt idx="2">
                  <c:v>9.8015484068293135E-2</c:v>
                </c:pt>
                <c:pt idx="3">
                  <c:v>0.12759881558964759</c:v>
                </c:pt>
                <c:pt idx="4">
                  <c:v>0.14858852333984199</c:v>
                </c:pt>
                <c:pt idx="5">
                  <c:v>0.16486940552519549</c:v>
                </c:pt>
                <c:pt idx="6">
                  <c:v>0.17817185486119641</c:v>
                </c:pt>
                <c:pt idx="7">
                  <c:v>0.18941891551913945</c:v>
                </c:pt>
                <c:pt idx="8">
                  <c:v>0.19916156261139084</c:v>
                </c:pt>
                <c:pt idx="9">
                  <c:v>0.20775518638255089</c:v>
                </c:pt>
                <c:pt idx="10">
                  <c:v>0.21544244479674429</c:v>
                </c:pt>
                <c:pt idx="11">
                  <c:v>0.22239641590332609</c:v>
                </c:pt>
                <c:pt idx="12">
                  <c:v>0.22874489413274529</c:v>
                </c:pt>
                <c:pt idx="13">
                  <c:v>0.2345849279842929</c:v>
                </c:pt>
                <c:pt idx="14">
                  <c:v>0.2399919547906883</c:v>
                </c:pt>
                <c:pt idx="15">
                  <c:v>0.24502577631809877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A9AA-4DFA-ADAC-565D09959795}"/>
            </c:ext>
          </c:extLst>
        </c:ser>
        <c:ser>
          <c:idx val="5"/>
          <c:order val="5"/>
          <c:tx>
            <c:strRef>
              <c:f>'1_UK stats HDVs'!$C$99</c:f>
              <c:strCache>
                <c:ptCount val="1"/>
                <c:pt idx="0">
                  <c:v> s/s diesel exergy efficiency y = 21log (0.1916mpUKg)</c:v>
                </c:pt>
              </c:strCache>
            </c:strRef>
          </c:tx>
          <c:dLbls>
            <c:delete val="1"/>
          </c:dLbls>
          <c:xVal>
            <c:numRef>
              <c:f>'1_UK stats HDVs'!$E$94:$T$94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HDVs'!$E$99:$T$99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5.930305599593038E-2</c:v>
                </c:pt>
                <c:pt idx="2">
                  <c:v>0.12251935508536642</c:v>
                </c:pt>
                <c:pt idx="3">
                  <c:v>0.15949851948705948</c:v>
                </c:pt>
                <c:pt idx="4">
                  <c:v>0.18573565417480251</c:v>
                </c:pt>
                <c:pt idx="5">
                  <c:v>0.20608675690649433</c:v>
                </c:pt>
                <c:pt idx="6">
                  <c:v>0.2227148185764955</c:v>
                </c:pt>
                <c:pt idx="7">
                  <c:v>0.23677364439892432</c:v>
                </c:pt>
                <c:pt idx="8">
                  <c:v>0.24895195326423855</c:v>
                </c:pt>
                <c:pt idx="9">
                  <c:v>0.25969398297818858</c:v>
                </c:pt>
                <c:pt idx="10">
                  <c:v>0.26930305599593035</c:v>
                </c:pt>
                <c:pt idx="11">
                  <c:v>0.2779955198791576</c:v>
                </c:pt>
                <c:pt idx="12">
                  <c:v>0.2859311176659316</c:v>
                </c:pt>
                <c:pt idx="13">
                  <c:v>0.29323115998036614</c:v>
                </c:pt>
                <c:pt idx="14">
                  <c:v>0.29998994348836039</c:v>
                </c:pt>
                <c:pt idx="15">
                  <c:v>0.30628222039762343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A9AA-4DFA-ADAC-565D09959795}"/>
            </c:ext>
          </c:extLst>
        </c:ser>
        <c:dLbls>
          <c:dLblPos val="r"/>
          <c:showLegendKey val="0"/>
          <c:showVal val="1"/>
          <c:showCatName val="1"/>
          <c:showSerName val="0"/>
          <c:showPercent val="0"/>
          <c:showBubbleSize val="0"/>
        </c:dLbls>
        <c:axId val="517209088"/>
        <c:axId val="517215360"/>
      </c:scatterChart>
      <c:valAx>
        <c:axId val="51720908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mpUKg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17215360"/>
        <c:crosses val="autoZero"/>
        <c:crossBetween val="midCat"/>
      </c:valAx>
      <c:valAx>
        <c:axId val="51721536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% exergy efficiency</a:t>
                </a:r>
              </a:p>
            </c:rich>
          </c:tx>
          <c:overlay val="0"/>
        </c:title>
        <c:numFmt formatCode="0.0%" sourceLinked="0"/>
        <c:majorTickMark val="out"/>
        <c:minorTickMark val="none"/>
        <c:tickLblPos val="nextTo"/>
        <c:crossAx val="517209088"/>
        <c:crosses val="autoZero"/>
        <c:crossBetween val="midCat"/>
      </c:valAx>
    </c:plotArea>
    <c:legend>
      <c:legendPos val="r"/>
      <c:layout>
        <c:manualLayout>
          <c:xMode val="edge"/>
          <c:yMode val="edge"/>
          <c:x val="0.66070962171095737"/>
          <c:y val="4.459943675359105E-2"/>
          <c:w val="0.33097004592998169"/>
          <c:h val="0.95540056324640898"/>
        </c:manualLayout>
      </c:layout>
      <c:overlay val="0"/>
    </c:legend>
    <c:plotVisOnly val="1"/>
    <c:dispBlanksAs val="gap"/>
    <c:showDLblsOverMax val="0"/>
  </c:chart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&amp; US road vehicles - exergy efficiency vs mpg 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2"/>
          <c:order val="0"/>
          <c:tx>
            <c:strRef>
              <c:f>'1_UK stats HDVs'!$C$100</c:f>
              <c:strCache>
                <c:ptCount val="1"/>
                <c:pt idx="0">
                  <c:v>Ayres &amp; warr y = 0.52xmpg (US Gallon)</c:v>
                </c:pt>
              </c:strCache>
            </c:strRef>
          </c:tx>
          <c:spPr>
            <a:ln w="19050"/>
          </c:spPr>
          <c:marker>
            <c:symbol val="triangle"/>
            <c:size val="5"/>
          </c:marker>
          <c:dLbls>
            <c:delete val="1"/>
          </c:dLbls>
          <c:xVal>
            <c:numRef>
              <c:f>'1_UK stats HDVs'!$E$94:$O$94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xVal>
          <c:yVal>
            <c:numRef>
              <c:f>'1_UK stats HDVs'!$E$100:$O$100</c:f>
              <c:numCache>
                <c:formatCode>0.00%</c:formatCode>
                <c:ptCount val="11"/>
                <c:pt idx="0">
                  <c:v>0</c:v>
                </c:pt>
                <c:pt idx="1">
                  <c:v>5.1999999999999998E-2</c:v>
                </c:pt>
                <c:pt idx="2">
                  <c:v>0.104</c:v>
                </c:pt>
                <c:pt idx="3">
                  <c:v>0.156</c:v>
                </c:pt>
                <c:pt idx="4">
                  <c:v>0.20799999999999999</c:v>
                </c:pt>
                <c:pt idx="5">
                  <c:v>0.26</c:v>
                </c:pt>
                <c:pt idx="6">
                  <c:v>0.312</c:v>
                </c:pt>
                <c:pt idx="7">
                  <c:v>0.36399999999999999</c:v>
                </c:pt>
                <c:pt idx="8">
                  <c:v>0.41599999999999998</c:v>
                </c:pt>
                <c:pt idx="9">
                  <c:v>0.46799999999999997</c:v>
                </c:pt>
                <c:pt idx="10">
                  <c:v>0.52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C18-49AB-851E-6EF44CFF4695}"/>
            </c:ext>
          </c:extLst>
        </c:ser>
        <c:ser>
          <c:idx val="0"/>
          <c:order val="1"/>
          <c:tx>
            <c:strRef>
              <c:f>'1_UK stats HDVs'!$C$256</c:f>
              <c:strCache>
                <c:ptCount val="1"/>
                <c:pt idx="0">
                  <c:v>UK road vehicle efficiency based on exp function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pPr>
              <a:solidFill>
                <a:srgbClr val="FF0000"/>
              </a:solidFill>
            </c:spPr>
          </c:marker>
          <c:dLbls>
            <c:delete val="1"/>
          </c:dLbls>
          <c:xVal>
            <c:numRef>
              <c:f>'1_UK stats HDVs'!$D$50:$BB$50</c:f>
              <c:numCache>
                <c:formatCode>0.00</c:formatCode>
                <c:ptCount val="51"/>
                <c:pt idx="0">
                  <c:v>23.478427268870355</c:v>
                </c:pt>
                <c:pt idx="1">
                  <c:v>23.006506303856494</c:v>
                </c:pt>
                <c:pt idx="2">
                  <c:v>23.108329666134455</c:v>
                </c:pt>
                <c:pt idx="3">
                  <c:v>23.032909068193181</c:v>
                </c:pt>
                <c:pt idx="4">
                  <c:v>22.794662134534597</c:v>
                </c:pt>
                <c:pt idx="5">
                  <c:v>22.880546718264217</c:v>
                </c:pt>
                <c:pt idx="6">
                  <c:v>22.704395141888025</c:v>
                </c:pt>
                <c:pt idx="7">
                  <c:v>23.268529360508555</c:v>
                </c:pt>
                <c:pt idx="8">
                  <c:v>23.658360451878419</c:v>
                </c:pt>
                <c:pt idx="9">
                  <c:v>23.830014699056644</c:v>
                </c:pt>
                <c:pt idx="10">
                  <c:v>22.750468797521485</c:v>
                </c:pt>
                <c:pt idx="11">
                  <c:v>22.955283896529775</c:v>
                </c:pt>
                <c:pt idx="12">
                  <c:v>22.838979904524315</c:v>
                </c:pt>
                <c:pt idx="13">
                  <c:v>22.527526646754993</c:v>
                </c:pt>
                <c:pt idx="14">
                  <c:v>22.743865833392739</c:v>
                </c:pt>
                <c:pt idx="15">
                  <c:v>23.509290304185523</c:v>
                </c:pt>
                <c:pt idx="16">
                  <c:v>23.625291486176163</c:v>
                </c:pt>
                <c:pt idx="17">
                  <c:v>23.397558705009107</c:v>
                </c:pt>
                <c:pt idx="18">
                  <c:v>23.023424673303364</c:v>
                </c:pt>
                <c:pt idx="19">
                  <c:v>22.50374528903393</c:v>
                </c:pt>
                <c:pt idx="20">
                  <c:v>23.512086501867884</c:v>
                </c:pt>
                <c:pt idx="21">
                  <c:v>24.634600692847787</c:v>
                </c:pt>
                <c:pt idx="22">
                  <c:v>24.664535164528573</c:v>
                </c:pt>
                <c:pt idx="23">
                  <c:v>24.45758965533113</c:v>
                </c:pt>
                <c:pt idx="24">
                  <c:v>24.775923509587518</c:v>
                </c:pt>
                <c:pt idx="25">
                  <c:v>25.078531845126697</c:v>
                </c:pt>
                <c:pt idx="26">
                  <c:v>24.936490463387958</c:v>
                </c:pt>
                <c:pt idx="27">
                  <c:v>25.676690230438638</c:v>
                </c:pt>
                <c:pt idx="28">
                  <c:v>25.970486211682438</c:v>
                </c:pt>
                <c:pt idx="29">
                  <c:v>26.769829009475384</c:v>
                </c:pt>
                <c:pt idx="30">
                  <c:v>25.897167514278749</c:v>
                </c:pt>
                <c:pt idx="31">
                  <c:v>25.902559543886468</c:v>
                </c:pt>
                <c:pt idx="32">
                  <c:v>25.437224565792668</c:v>
                </c:pt>
                <c:pt idx="33">
                  <c:v>25.008550294898658</c:v>
                </c:pt>
                <c:pt idx="34">
                  <c:v>25.417999555816259</c:v>
                </c:pt>
                <c:pt idx="35">
                  <c:v>26.078231127793721</c:v>
                </c:pt>
                <c:pt idx="36">
                  <c:v>25.651849532938392</c:v>
                </c:pt>
                <c:pt idx="37">
                  <c:v>25.817190268531142</c:v>
                </c:pt>
                <c:pt idx="38">
                  <c:v>26.41643247790881</c:v>
                </c:pt>
                <c:pt idx="39">
                  <c:v>26.562444844897268</c:v>
                </c:pt>
                <c:pt idx="40">
                  <c:v>26.644906168445836</c:v>
                </c:pt>
                <c:pt idx="41">
                  <c:v>27.037342572628869</c:v>
                </c:pt>
                <c:pt idx="42">
                  <c:v>27.114331958364513</c:v>
                </c:pt>
                <c:pt idx="43">
                  <c:v>27.384264436441466</c:v>
                </c:pt>
                <c:pt idx="44">
                  <c:v>27.537897616726589</c:v>
                </c:pt>
                <c:pt idx="45">
                  <c:v>27.366503546228586</c:v>
                </c:pt>
                <c:pt idx="46">
                  <c:v>27.771814730730803</c:v>
                </c:pt>
                <c:pt idx="47">
                  <c:v>27.757336122113824</c:v>
                </c:pt>
                <c:pt idx="48">
                  <c:v>28.635086768387637</c:v>
                </c:pt>
                <c:pt idx="49">
                  <c:v>29.419383034468524</c:v>
                </c:pt>
                <c:pt idx="50">
                  <c:v>29.64599726007539</c:v>
                </c:pt>
              </c:numCache>
            </c:numRef>
          </c:xVal>
          <c:yVal>
            <c:numRef>
              <c:f>'1_UK stats HDVs'!$D$51:$BB$51</c:f>
              <c:numCache>
                <c:formatCode>0.00%</c:formatCode>
                <c:ptCount val="51"/>
                <c:pt idx="0">
                  <c:v>0.14763239699834313</c:v>
                </c:pt>
                <c:pt idx="1">
                  <c:v>0.14737477549663267</c:v>
                </c:pt>
                <c:pt idx="2">
                  <c:v>0.14720665278984113</c:v>
                </c:pt>
                <c:pt idx="3">
                  <c:v>0.14693632282650526</c:v>
                </c:pt>
                <c:pt idx="4">
                  <c:v>0.14699474954390571</c:v>
                </c:pt>
                <c:pt idx="5">
                  <c:v>0.14712766261102131</c:v>
                </c:pt>
                <c:pt idx="6">
                  <c:v>0.14715526432209963</c:v>
                </c:pt>
                <c:pt idx="7">
                  <c:v>0.14721276536470465</c:v>
                </c:pt>
                <c:pt idx="8">
                  <c:v>0.14714253099884539</c:v>
                </c:pt>
                <c:pt idx="9">
                  <c:v>0.1470219170470678</c:v>
                </c:pt>
                <c:pt idx="10">
                  <c:v>0.1472999835144928</c:v>
                </c:pt>
                <c:pt idx="11">
                  <c:v>0.14824039505250283</c:v>
                </c:pt>
                <c:pt idx="12">
                  <c:v>0.14827057812020003</c:v>
                </c:pt>
                <c:pt idx="13">
                  <c:v>0.1465475622730712</c:v>
                </c:pt>
                <c:pt idx="14">
                  <c:v>0.14742415452486934</c:v>
                </c:pt>
                <c:pt idx="15">
                  <c:v>0.15036117931815446</c:v>
                </c:pt>
                <c:pt idx="16">
                  <c:v>0.15095490304223652</c:v>
                </c:pt>
                <c:pt idx="17">
                  <c:v>0.14957088708385496</c:v>
                </c:pt>
                <c:pt idx="18">
                  <c:v>0.14837559578494805</c:v>
                </c:pt>
                <c:pt idx="19">
                  <c:v>0.14573275997339308</c:v>
                </c:pt>
                <c:pt idx="20">
                  <c:v>0.15099280477989488</c:v>
                </c:pt>
                <c:pt idx="21">
                  <c:v>0.15620118045906745</c:v>
                </c:pt>
                <c:pt idx="22">
                  <c:v>0.15555323110656968</c:v>
                </c:pt>
                <c:pt idx="23">
                  <c:v>0.15346033732743328</c:v>
                </c:pt>
                <c:pt idx="24">
                  <c:v>0.15353937333856801</c:v>
                </c:pt>
                <c:pt idx="25">
                  <c:v>0.15360602548156096</c:v>
                </c:pt>
                <c:pt idx="26">
                  <c:v>0.15132249723278485</c:v>
                </c:pt>
                <c:pt idx="27">
                  <c:v>0.15526003751409223</c:v>
                </c:pt>
                <c:pt idx="28">
                  <c:v>0.15645783431187543</c:v>
                </c:pt>
                <c:pt idx="29">
                  <c:v>0.16185575659230395</c:v>
                </c:pt>
                <c:pt idx="30">
                  <c:v>0.1617086296199047</c:v>
                </c:pt>
                <c:pt idx="31">
                  <c:v>0.16363611561162922</c:v>
                </c:pt>
                <c:pt idx="32">
                  <c:v>0.16326563603009445</c:v>
                </c:pt>
                <c:pt idx="33">
                  <c:v>0.16350738722587371</c:v>
                </c:pt>
                <c:pt idx="34">
                  <c:v>0.16749700833758235</c:v>
                </c:pt>
                <c:pt idx="35">
                  <c:v>0.17271189074931081</c:v>
                </c:pt>
                <c:pt idx="36">
                  <c:v>0.17228131062597363</c:v>
                </c:pt>
                <c:pt idx="37">
                  <c:v>0.17444457123391371</c:v>
                </c:pt>
                <c:pt idx="38">
                  <c:v>0.17823139444533692</c:v>
                </c:pt>
                <c:pt idx="39">
                  <c:v>0.1804610713795789</c:v>
                </c:pt>
                <c:pt idx="40">
                  <c:v>0.18183008634988565</c:v>
                </c:pt>
                <c:pt idx="41">
                  <c:v>0.18471812966039275</c:v>
                </c:pt>
                <c:pt idx="42">
                  <c:v>0.18628361331338614</c:v>
                </c:pt>
                <c:pt idx="43">
                  <c:v>0.18894929588073028</c:v>
                </c:pt>
                <c:pt idx="44">
                  <c:v>0.19114645023909277</c:v>
                </c:pt>
                <c:pt idx="45">
                  <c:v>0.19170298586136666</c:v>
                </c:pt>
                <c:pt idx="46">
                  <c:v>0.19508055161389612</c:v>
                </c:pt>
                <c:pt idx="47">
                  <c:v>0.19630390684006505</c:v>
                </c:pt>
                <c:pt idx="48">
                  <c:v>0.20194351987759496</c:v>
                </c:pt>
                <c:pt idx="49">
                  <c:v>0.20631768793228805</c:v>
                </c:pt>
                <c:pt idx="50">
                  <c:v>0.20837792754899609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C18-49AB-851E-6EF44CFF4695}"/>
            </c:ext>
          </c:extLst>
        </c:ser>
        <c:ser>
          <c:idx val="1"/>
          <c:order val="2"/>
          <c:tx>
            <c:strRef>
              <c:f>'1_UK stats HDVs'!$C$264</c:f>
              <c:strCache>
                <c:ptCount val="1"/>
                <c:pt idx="0">
                  <c:v>US petrol road vehicles - exergy efficiency</c:v>
                </c:pt>
              </c:strCache>
            </c:strRef>
          </c:tx>
          <c:marker>
            <c:spPr>
              <a:noFill/>
            </c:spPr>
          </c:marker>
          <c:dLbls>
            <c:delete val="1"/>
          </c:dLbls>
          <c:xVal>
            <c:numRef>
              <c:f>'1_UK stats HDVs'!$D$263:$BB$263</c:f>
              <c:numCache>
                <c:formatCode>0.0</c:formatCode>
                <c:ptCount val="51"/>
                <c:pt idx="0" formatCode="#,##0.0">
                  <c:v>13.197054801575648</c:v>
                </c:pt>
                <c:pt idx="1">
                  <c:v>13.295086955157087</c:v>
                </c:pt>
                <c:pt idx="2">
                  <c:v>13.393119108738526</c:v>
                </c:pt>
                <c:pt idx="3">
                  <c:v>13.491151262319965</c:v>
                </c:pt>
                <c:pt idx="4">
                  <c:v>13.589183415901404</c:v>
                </c:pt>
                <c:pt idx="5" formatCode="#,##0.0">
                  <c:v>13.68721556948284</c:v>
                </c:pt>
                <c:pt idx="6">
                  <c:v>13.628390780428564</c:v>
                </c:pt>
                <c:pt idx="7">
                  <c:v>13.569565991374288</c:v>
                </c:pt>
                <c:pt idx="8">
                  <c:v>13.510741202320013</c:v>
                </c:pt>
                <c:pt idx="9">
                  <c:v>13.451916413265737</c:v>
                </c:pt>
                <c:pt idx="10" formatCode="#,##0.00">
                  <c:v>13.393091624211458</c:v>
                </c:pt>
                <c:pt idx="11" formatCode="#,##0.00">
                  <c:v>13.405942192706743</c:v>
                </c:pt>
                <c:pt idx="12" formatCode="#,##0.00">
                  <c:v>13.418792761202027</c:v>
                </c:pt>
                <c:pt idx="13" formatCode="#,##0.00">
                  <c:v>13.431643329697312</c:v>
                </c:pt>
                <c:pt idx="14" formatCode="#,##0.00">
                  <c:v>13.444493898192597</c:v>
                </c:pt>
                <c:pt idx="15" formatCode="#,##0.00">
                  <c:v>13.45734446668788</c:v>
                </c:pt>
                <c:pt idx="16" formatCode="#,##0.00">
                  <c:v>13.826593251845654</c:v>
                </c:pt>
                <c:pt idx="17" formatCode="#,##0.00">
                  <c:v>14.195842037003429</c:v>
                </c:pt>
                <c:pt idx="18" formatCode="#,##0.00">
                  <c:v>14.565090822161203</c:v>
                </c:pt>
                <c:pt idx="19" formatCode="#,##0.00">
                  <c:v>14.934339607318977</c:v>
                </c:pt>
                <c:pt idx="20" formatCode="#,##0.0">
                  <c:v>15.303588392476749</c:v>
                </c:pt>
                <c:pt idx="21" formatCode="#,##0.00">
                  <c:v>15.696882728057679</c:v>
                </c:pt>
                <c:pt idx="22" formatCode="#,##0.00">
                  <c:v>16.09017706363861</c:v>
                </c:pt>
                <c:pt idx="23" formatCode="#,##0.00">
                  <c:v>16.483471399219539</c:v>
                </c:pt>
                <c:pt idx="24" formatCode="#,##0.00">
                  <c:v>16.876765734800468</c:v>
                </c:pt>
                <c:pt idx="25" formatCode="#,##0.0">
                  <c:v>17.270060070381398</c:v>
                </c:pt>
                <c:pt idx="26" formatCode="#,##0.00">
                  <c:v>17.67184947057304</c:v>
                </c:pt>
                <c:pt idx="27" formatCode="#,##0.00">
                  <c:v>18.073638870764682</c:v>
                </c:pt>
                <c:pt idx="28" formatCode="#,##0.00">
                  <c:v>18.475428270956325</c:v>
                </c:pt>
                <c:pt idx="29" formatCode="#,##0.00">
                  <c:v>18.877217671147967</c:v>
                </c:pt>
                <c:pt idx="30" formatCode="#,##0.0">
                  <c:v>19.279007071339617</c:v>
                </c:pt>
                <c:pt idx="31" formatCode="#,##0.0">
                  <c:v>19.913392821192801</c:v>
                </c:pt>
                <c:pt idx="32" formatCode="#,##0.0">
                  <c:v>19.988444728746977</c:v>
                </c:pt>
                <c:pt idx="33" formatCode="#,##0.0">
                  <c:v>20.018615279872112</c:v>
                </c:pt>
                <c:pt idx="34" formatCode="#,##0.0">
                  <c:v>19.904044146485482</c:v>
                </c:pt>
                <c:pt idx="35" formatCode="#,##0.0">
                  <c:v>19.995298550986774</c:v>
                </c:pt>
                <c:pt idx="36" formatCode="#,##0.0">
                  <c:v>20.047069647114174</c:v>
                </c:pt>
                <c:pt idx="37" formatCode="#,##0.0">
                  <c:v>20.186048676831316</c:v>
                </c:pt>
                <c:pt idx="38" formatCode="#,##0.0">
                  <c:v>20.625026158056269</c:v>
                </c:pt>
                <c:pt idx="39" formatCode="#,##0.0">
                  <c:v>20.315369048251508</c:v>
                </c:pt>
                <c:pt idx="40" formatCode="#,##0.0">
                  <c:v>20.624399364619347</c:v>
                </c:pt>
                <c:pt idx="41" formatCode="#,##0.0">
                  <c:v>20.79656680098352</c:v>
                </c:pt>
                <c:pt idx="42" formatCode="#,##0.0">
                  <c:v>20.736660060709248</c:v>
                </c:pt>
                <c:pt idx="43" formatCode="#,##0.0">
                  <c:v>20.193017194526458</c:v>
                </c:pt>
                <c:pt idx="44" formatCode="#,##0.0">
                  <c:v>20.552284807884224</c:v>
                </c:pt>
                <c:pt idx="45" formatCode="#,##0.0">
                  <c:v>21.044466333604017</c:v>
                </c:pt>
                <c:pt idx="46" formatCode="#,##0.0">
                  <c:v>21.274145831973524</c:v>
                </c:pt>
                <c:pt idx="47" formatCode="#,##0.0">
                  <c:v>21.528463794298183</c:v>
                </c:pt>
                <c:pt idx="48" formatCode="#,##0.0">
                  <c:v>22.291194577534764</c:v>
                </c:pt>
                <c:pt idx="49" formatCode="#,##0.0">
                  <c:v>22.893671884457859</c:v>
                </c:pt>
                <c:pt idx="50" formatCode="#,##0.0">
                  <c:v>22.41287587147643</c:v>
                </c:pt>
              </c:numCache>
            </c:numRef>
          </c:xVal>
          <c:yVal>
            <c:numRef>
              <c:f>'1_UK stats HDVs'!$D$264:$BB$264</c:f>
              <c:numCache>
                <c:formatCode>0.0%</c:formatCode>
                <c:ptCount val="51"/>
                <c:pt idx="0">
                  <c:v>8.1010415833571173E-2</c:v>
                </c:pt>
                <c:pt idx="1">
                  <c:v>8.1550395049725694E-2</c:v>
                </c:pt>
                <c:pt idx="2">
                  <c:v>8.2086407284866228E-2</c:v>
                </c:pt>
                <c:pt idx="3">
                  <c:v>8.2618510401362991E-2</c:v>
                </c:pt>
                <c:pt idx="4">
                  <c:v>8.3146761004776124E-2</c:v>
                </c:pt>
                <c:pt idx="5">
                  <c:v>8.367121447999247E-2</c:v>
                </c:pt>
                <c:pt idx="6">
                  <c:v>8.335696556046672E-2</c:v>
                </c:pt>
                <c:pt idx="7">
                  <c:v>8.3041357297363699E-2</c:v>
                </c:pt>
                <c:pt idx="8">
                  <c:v>8.2724377879373492E-2</c:v>
                </c:pt>
                <c:pt idx="9">
                  <c:v>8.2406015340571945E-2</c:v>
                </c:pt>
                <c:pt idx="10">
                  <c:v>8.2086257557710082E-2</c:v>
                </c:pt>
                <c:pt idx="11">
                  <c:v>8.2156229966719577E-2</c:v>
                </c:pt>
                <c:pt idx="12">
                  <c:v>8.222613533421877E-2</c:v>
                </c:pt>
                <c:pt idx="13">
                  <c:v>8.2295973788551469E-2</c:v>
                </c:pt>
                <c:pt idx="14">
                  <c:v>8.2365745457693235E-2</c:v>
                </c:pt>
                <c:pt idx="15">
                  <c:v>8.2435450469252894E-2</c:v>
                </c:pt>
                <c:pt idx="16">
                  <c:v>8.4410427873277072E-2</c:v>
                </c:pt>
                <c:pt idx="17">
                  <c:v>8.6333351016526547E-2</c:v>
                </c:pt>
                <c:pt idx="18">
                  <c:v>8.8206893557239263E-2</c:v>
                </c:pt>
                <c:pt idx="19">
                  <c:v>9.0033528310542885E-2</c:v>
                </c:pt>
                <c:pt idx="20">
                  <c:v>9.1815546874265228E-2</c:v>
                </c:pt>
                <c:pt idx="21">
                  <c:v>9.3666929945199526E-2</c:v>
                </c:pt>
                <c:pt idx="22">
                  <c:v>9.5472494765297858E-2</c:v>
                </c:pt>
                <c:pt idx="23">
                  <c:v>9.7234454504146209E-2</c:v>
                </c:pt>
                <c:pt idx="24">
                  <c:v>9.8954865750711593E-2</c:v>
                </c:pt>
                <c:pt idx="25">
                  <c:v>0.10063564294433185</c:v>
                </c:pt>
                <c:pt idx="26">
                  <c:v>0.10231365304629186</c:v>
                </c:pt>
                <c:pt idx="27">
                  <c:v>0.10395393731760849</c:v>
                </c:pt>
                <c:pt idx="28">
                  <c:v>0.10555815486631487</c:v>
                </c:pt>
                <c:pt idx="29">
                  <c:v>0.10712785770467832</c:v>
                </c:pt>
                <c:pt idx="30">
                  <c:v>0.108664499772788</c:v>
                </c:pt>
                <c:pt idx="31">
                  <c:v>0.11102668028735753</c:v>
                </c:pt>
                <c:pt idx="32">
                  <c:v>0.11130114905959694</c:v>
                </c:pt>
                <c:pt idx="33">
                  <c:v>0.1114111940500023</c:v>
                </c:pt>
                <c:pt idx="34">
                  <c:v>0.11099241926297493</c:v>
                </c:pt>
                <c:pt idx="35">
                  <c:v>0.11132616247404487</c:v>
                </c:pt>
                <c:pt idx="36">
                  <c:v>0.11151482751584424</c:v>
                </c:pt>
                <c:pt idx="37">
                  <c:v>0.11201889756925659</c:v>
                </c:pt>
                <c:pt idx="38">
                  <c:v>0.11358855379898984</c:v>
                </c:pt>
                <c:pt idx="39">
                  <c:v>0.11248482875773348</c:v>
                </c:pt>
                <c:pt idx="40">
                  <c:v>0.11358633647005378</c:v>
                </c:pt>
                <c:pt idx="41">
                  <c:v>0.11419287288180388</c:v>
                </c:pt>
                <c:pt idx="42">
                  <c:v>0.11398239624071162</c:v>
                </c:pt>
                <c:pt idx="43">
                  <c:v>0.1120440805847355</c:v>
                </c:pt>
                <c:pt idx="44">
                  <c:v>0.11333077486928685</c:v>
                </c:pt>
                <c:pt idx="45">
                  <c:v>0.11505744649932406</c:v>
                </c:pt>
                <c:pt idx="46">
                  <c:v>0.11584943461976704</c:v>
                </c:pt>
                <c:pt idx="47">
                  <c:v>0.11671646733823322</c:v>
                </c:pt>
                <c:pt idx="48">
                  <c:v>0.11925667804092364</c:v>
                </c:pt>
                <c:pt idx="49">
                  <c:v>0.12120247274884542</c:v>
                </c:pt>
                <c:pt idx="50">
                  <c:v>0.11965387088148896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C18-49AB-851E-6EF44CFF4695}"/>
            </c:ext>
          </c:extLst>
        </c:ser>
        <c:dLbls>
          <c:dLblPos val="r"/>
          <c:showLegendKey val="0"/>
          <c:showVal val="1"/>
          <c:showCatName val="1"/>
          <c:showSerName val="0"/>
          <c:showPercent val="0"/>
          <c:showBubbleSize val="0"/>
        </c:dLbls>
        <c:axId val="517254144"/>
        <c:axId val="517260800"/>
      </c:scatterChart>
      <c:valAx>
        <c:axId val="517254144"/>
        <c:scaling>
          <c:orientation val="minMax"/>
          <c:max val="4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mpg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17260800"/>
        <c:crosses val="autoZero"/>
        <c:crossBetween val="midCat"/>
        <c:majorUnit val="5"/>
      </c:valAx>
      <c:valAx>
        <c:axId val="517260800"/>
        <c:scaling>
          <c:orientation val="minMax"/>
          <c:max val="0.3000000000000000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% exergy efficiency</a:t>
                </a:r>
              </a:p>
            </c:rich>
          </c:tx>
          <c:overlay val="0"/>
        </c:title>
        <c:numFmt formatCode="0.00%" sourceLinked="1"/>
        <c:majorTickMark val="out"/>
        <c:minorTickMark val="none"/>
        <c:tickLblPos val="nextTo"/>
        <c:crossAx val="517254144"/>
        <c:crosses val="autoZero"/>
        <c:crossBetween val="midCat"/>
        <c:majorUnit val="5.000000000000001E-2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eta - GBR road vehicles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gasoline-motorcycles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'1_UK stats HDVs'!$D$24:$BJ$24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HDVs'!$D$27:$BJ$27</c:f>
              <c:numCache>
                <c:formatCode>0.00%</c:formatCode>
                <c:ptCount val="59"/>
                <c:pt idx="0">
                  <c:v>0.21066572223769853</c:v>
                </c:pt>
                <c:pt idx="1">
                  <c:v>0.21128941788248043</c:v>
                </c:pt>
                <c:pt idx="2">
                  <c:v>0.21191333920497701</c:v>
                </c:pt>
                <c:pt idx="3">
                  <c:v>0.21253747261499017</c:v>
                </c:pt>
                <c:pt idx="4">
                  <c:v>0.21316180444179583</c:v>
                </c:pt>
                <c:pt idx="5">
                  <c:v>0.21378632093462979</c:v>
                </c:pt>
                <c:pt idx="6">
                  <c:v>0.21441100826318832</c:v>
                </c:pt>
                <c:pt idx="7">
                  <c:v>0.21503585251814206</c:v>
                </c:pt>
                <c:pt idx="8">
                  <c:v>0.21566083971166505</c:v>
                </c:pt>
                <c:pt idx="9">
                  <c:v>0.21628595577797724</c:v>
                </c:pt>
                <c:pt idx="10">
                  <c:v>0.21691118657390213</c:v>
                </c:pt>
                <c:pt idx="11">
                  <c:v>0.21596756907662734</c:v>
                </c:pt>
                <c:pt idx="12">
                  <c:v>0.21960114191949759</c:v>
                </c:pt>
                <c:pt idx="13">
                  <c:v>0.21710729192942196</c:v>
                </c:pt>
                <c:pt idx="14">
                  <c:v>0.21802259747709357</c:v>
                </c:pt>
                <c:pt idx="15">
                  <c:v>0.22575712376045887</c:v>
                </c:pt>
                <c:pt idx="16">
                  <c:v>0.22231057885006306</c:v>
                </c:pt>
                <c:pt idx="17">
                  <c:v>0.22406821742831134</c:v>
                </c:pt>
                <c:pt idx="18">
                  <c:v>0.2197330876707114</c:v>
                </c:pt>
                <c:pt idx="19">
                  <c:v>0.21820314092517162</c:v>
                </c:pt>
                <c:pt idx="20">
                  <c:v>0.22316663901345188</c:v>
                </c:pt>
                <c:pt idx="21">
                  <c:v>0.2275508830648256</c:v>
                </c:pt>
                <c:pt idx="22">
                  <c:v>0.22726892887894581</c:v>
                </c:pt>
                <c:pt idx="23">
                  <c:v>0.22832985101676964</c:v>
                </c:pt>
                <c:pt idx="24">
                  <c:v>0.22786768571411378</c:v>
                </c:pt>
                <c:pt idx="25">
                  <c:v>0.23162091473038177</c:v>
                </c:pt>
                <c:pt idx="26">
                  <c:v>0.23135000121143645</c:v>
                </c:pt>
                <c:pt idx="27">
                  <c:v>0.23633891058248224</c:v>
                </c:pt>
                <c:pt idx="28">
                  <c:v>0.23603936990344127</c:v>
                </c:pt>
                <c:pt idx="29">
                  <c:v>0.245605963296887</c:v>
                </c:pt>
                <c:pt idx="30">
                  <c:v>0.24093219316582887</c:v>
                </c:pt>
                <c:pt idx="31">
                  <c:v>0.24146440729299207</c:v>
                </c:pt>
                <c:pt idx="32">
                  <c:v>0.23701176763607865</c:v>
                </c:pt>
                <c:pt idx="33">
                  <c:v>0.23311740610277465</c:v>
                </c:pt>
                <c:pt idx="34">
                  <c:v>0.23626310225738945</c:v>
                </c:pt>
                <c:pt idx="35">
                  <c:v>0.23911836427076558</c:v>
                </c:pt>
                <c:pt idx="36">
                  <c:v>0.23422367215607071</c:v>
                </c:pt>
                <c:pt idx="37">
                  <c:v>0.23599048133993086</c:v>
                </c:pt>
                <c:pt idx="38">
                  <c:v>0.23745359000524002</c:v>
                </c:pt>
                <c:pt idx="39">
                  <c:v>0.2338464307991083</c:v>
                </c:pt>
                <c:pt idx="40">
                  <c:v>0.23402694513528133</c:v>
                </c:pt>
                <c:pt idx="41">
                  <c:v>0.23987858941171114</c:v>
                </c:pt>
                <c:pt idx="42">
                  <c:v>0.23861959172703753</c:v>
                </c:pt>
                <c:pt idx="43">
                  <c:v>0.23951914255892942</c:v>
                </c:pt>
                <c:pt idx="44">
                  <c:v>0.24315647313669533</c:v>
                </c:pt>
                <c:pt idx="45">
                  <c:v>0.24133202405425394</c:v>
                </c:pt>
                <c:pt idx="46">
                  <c:v>0.24646619798990485</c:v>
                </c:pt>
                <c:pt idx="47">
                  <c:v>0.24600371280985353</c:v>
                </c:pt>
                <c:pt idx="48">
                  <c:v>0.24548031354253269</c:v>
                </c:pt>
                <c:pt idx="49">
                  <c:v>0.25295799313390932</c:v>
                </c:pt>
                <c:pt idx="50">
                  <c:v>0.25627107865876014</c:v>
                </c:pt>
                <c:pt idx="51">
                  <c:v>0.25724376377177294</c:v>
                </c:pt>
                <c:pt idx="52">
                  <c:v>0.26109197247310278</c:v>
                </c:pt>
                <c:pt idx="53">
                  <c:v>0.26332415624853028</c:v>
                </c:pt>
                <c:pt idx="54">
                  <c:v>0.26423287809489254</c:v>
                </c:pt>
                <c:pt idx="55">
                  <c:v>0.26304664368496994</c:v>
                </c:pt>
                <c:pt idx="56">
                  <c:v>0.26604482537281854</c:v>
                </c:pt>
                <c:pt idx="57">
                  <c:v>0.26548008502582765</c:v>
                </c:pt>
                <c:pt idx="58">
                  <c:v>0.26827358211888752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D07-4CEB-B7AC-D88641D85984}"/>
            </c:ext>
          </c:extLst>
        </c:ser>
        <c:ser>
          <c:idx val="1"/>
          <c:order val="1"/>
          <c:tx>
            <c:v>gasoline-cars/vans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'1_UK stats HDVs'!$D$24:$BJ$24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HDVs'!$D$28:$BJ$28</c:f>
              <c:numCache>
                <c:formatCode>0.00%</c:formatCode>
                <c:ptCount val="59"/>
                <c:pt idx="0">
                  <c:v>0.10769496290530746</c:v>
                </c:pt>
                <c:pt idx="1">
                  <c:v>0.10789569974769969</c:v>
                </c:pt>
                <c:pt idx="2">
                  <c:v>0.10810362137103935</c:v>
                </c:pt>
                <c:pt idx="3">
                  <c:v>0.10831092416356271</c:v>
                </c:pt>
                <c:pt idx="4">
                  <c:v>0.10850052739822642</c:v>
                </c:pt>
                <c:pt idx="5">
                  <c:v>0.10869645589588525</c:v>
                </c:pt>
                <c:pt idx="6">
                  <c:v>0.10888761588143157</c:v>
                </c:pt>
                <c:pt idx="7">
                  <c:v>0.1090771323066855</c:v>
                </c:pt>
                <c:pt idx="8">
                  <c:v>0.10926004912754105</c:v>
                </c:pt>
                <c:pt idx="9">
                  <c:v>0.10944027285110186</c:v>
                </c:pt>
                <c:pt idx="10">
                  <c:v>0.10961444345469096</c:v>
                </c:pt>
                <c:pt idx="11">
                  <c:v>0.11041202433050117</c:v>
                </c:pt>
                <c:pt idx="12">
                  <c:v>0.10970227988141405</c:v>
                </c:pt>
                <c:pt idx="13">
                  <c:v>0.10853950249434183</c:v>
                </c:pt>
                <c:pt idx="14">
                  <c:v>0.10934201537199612</c:v>
                </c:pt>
                <c:pt idx="15">
                  <c:v>0.11218624884701478</c:v>
                </c:pt>
                <c:pt idx="16">
                  <c:v>0.11246835069054339</c:v>
                </c:pt>
                <c:pt idx="17">
                  <c:v>0.1115216782393237</c:v>
                </c:pt>
                <c:pt idx="18">
                  <c:v>0.10999807452313271</c:v>
                </c:pt>
                <c:pt idx="19">
                  <c:v>0.10794510275806733</c:v>
                </c:pt>
                <c:pt idx="20">
                  <c:v>0.11148286152446531</c:v>
                </c:pt>
                <c:pt idx="21">
                  <c:v>0.11552489514200971</c:v>
                </c:pt>
                <c:pt idx="22">
                  <c:v>0.11565812716692946</c:v>
                </c:pt>
                <c:pt idx="23">
                  <c:v>0.11527611012296753</c:v>
                </c:pt>
                <c:pt idx="24">
                  <c:v>0.11690807560871951</c:v>
                </c:pt>
                <c:pt idx="25">
                  <c:v>0.11834181663669302</c:v>
                </c:pt>
                <c:pt idx="26">
                  <c:v>0.11811683206520587</c:v>
                </c:pt>
                <c:pt idx="27">
                  <c:v>0.12136967006967819</c:v>
                </c:pt>
                <c:pt idx="28">
                  <c:v>0.12304241013893071</c:v>
                </c:pt>
                <c:pt idx="29">
                  <c:v>0.12652406238669353</c:v>
                </c:pt>
                <c:pt idx="30">
                  <c:v>0.12358414081211422</c:v>
                </c:pt>
                <c:pt idx="31">
                  <c:v>0.1236674891595162</c:v>
                </c:pt>
                <c:pt idx="32">
                  <c:v>0.12218185574877749</c:v>
                </c:pt>
                <c:pt idx="33">
                  <c:v>0.12089685317682072</c:v>
                </c:pt>
                <c:pt idx="34">
                  <c:v>0.12322597434067804</c:v>
                </c:pt>
                <c:pt idx="35">
                  <c:v>0.12603458485411642</c:v>
                </c:pt>
                <c:pt idx="36">
                  <c:v>0.12435891909597477</c:v>
                </c:pt>
                <c:pt idx="37">
                  <c:v>0.12495373883034888</c:v>
                </c:pt>
                <c:pt idx="38">
                  <c:v>0.12717596291699007</c:v>
                </c:pt>
                <c:pt idx="39">
                  <c:v>0.12727239947989888</c:v>
                </c:pt>
                <c:pt idx="40">
                  <c:v>0.12732423591037914</c:v>
                </c:pt>
                <c:pt idx="41">
                  <c:v>0.12875110742475271</c:v>
                </c:pt>
                <c:pt idx="42">
                  <c:v>0.12903729760057492</c:v>
                </c:pt>
                <c:pt idx="43">
                  <c:v>0.13026676874330645</c:v>
                </c:pt>
                <c:pt idx="44">
                  <c:v>0.13062120493302992</c:v>
                </c:pt>
                <c:pt idx="45">
                  <c:v>0.12995131627698689</c:v>
                </c:pt>
                <c:pt idx="46">
                  <c:v>0.13144386786249959</c:v>
                </c:pt>
                <c:pt idx="47">
                  <c:v>0.13107696213238482</c:v>
                </c:pt>
                <c:pt idx="48">
                  <c:v>0.13305996142723395</c:v>
                </c:pt>
                <c:pt idx="49">
                  <c:v>0.13582502453787784</c:v>
                </c:pt>
                <c:pt idx="50">
                  <c:v>0.13769553339106447</c:v>
                </c:pt>
                <c:pt idx="51">
                  <c:v>0.13977199824845485</c:v>
                </c:pt>
                <c:pt idx="52">
                  <c:v>0.14063618107686493</c:v>
                </c:pt>
                <c:pt idx="53">
                  <c:v>0.14293162649929322</c:v>
                </c:pt>
                <c:pt idx="54">
                  <c:v>0.14555683461421171</c:v>
                </c:pt>
                <c:pt idx="55">
                  <c:v>0.14669477031299358</c:v>
                </c:pt>
                <c:pt idx="56">
                  <c:v>0.14764864897165914</c:v>
                </c:pt>
                <c:pt idx="57">
                  <c:v>0.1499745753417516</c:v>
                </c:pt>
                <c:pt idx="58">
                  <c:v>0.15337770756692493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D07-4CEB-B7AC-D88641D85984}"/>
            </c:ext>
          </c:extLst>
        </c:ser>
        <c:ser>
          <c:idx val="2"/>
          <c:order val="2"/>
          <c:tx>
            <c:v>diesel-cars/vans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'1_UK stats HDVs'!$D$24:$BJ$24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HDVs'!$D$29:$BJ$29</c:f>
              <c:numCache>
                <c:formatCode>0.00%</c:formatCode>
                <c:ptCount val="59"/>
                <c:pt idx="0">
                  <c:v>0.1391538743530577</c:v>
                </c:pt>
                <c:pt idx="1">
                  <c:v>0.13973162675931003</c:v>
                </c:pt>
                <c:pt idx="2">
                  <c:v>0.14030842335426183</c:v>
                </c:pt>
                <c:pt idx="3">
                  <c:v>0.14088449304599199</c:v>
                </c:pt>
                <c:pt idx="4">
                  <c:v>0.14146004442495241</c:v>
                </c:pt>
                <c:pt idx="5">
                  <c:v>0.14203526801326</c:v>
                </c:pt>
                <c:pt idx="6">
                  <c:v>0.14261033822060551</c:v>
                </c:pt>
                <c:pt idx="7">
                  <c:v>0.14318541505044741</c:v>
                </c:pt>
                <c:pt idx="8">
                  <c:v>0.14376064559288715</c:v>
                </c:pt>
                <c:pt idx="9">
                  <c:v>0.1443361653346811</c:v>
                </c:pt>
                <c:pt idx="10">
                  <c:v>0.1448936286610889</c:v>
                </c:pt>
                <c:pt idx="11">
                  <c:v>0.1462470147967887</c:v>
                </c:pt>
                <c:pt idx="12">
                  <c:v>0.1459453839457294</c:v>
                </c:pt>
                <c:pt idx="13">
                  <c:v>0.14463621490638207</c:v>
                </c:pt>
                <c:pt idx="14">
                  <c:v>0.14511806198391328</c:v>
                </c:pt>
                <c:pt idx="15">
                  <c:v>0.14910785693818476</c:v>
                </c:pt>
                <c:pt idx="16">
                  <c:v>0.15001099856675248</c:v>
                </c:pt>
                <c:pt idx="17">
                  <c:v>0.14852231699995883</c:v>
                </c:pt>
                <c:pt idx="18">
                  <c:v>0.14749882712517989</c:v>
                </c:pt>
                <c:pt idx="19">
                  <c:v>0.14503322762323392</c:v>
                </c:pt>
                <c:pt idx="20">
                  <c:v>0.15015517699648767</c:v>
                </c:pt>
                <c:pt idx="21">
                  <c:v>0.1550678810347331</c:v>
                </c:pt>
                <c:pt idx="22">
                  <c:v>0.15475754086078986</c:v>
                </c:pt>
                <c:pt idx="23">
                  <c:v>0.15390197653132728</c:v>
                </c:pt>
                <c:pt idx="24">
                  <c:v>0.15491382497868758</c:v>
                </c:pt>
                <c:pt idx="25">
                  <c:v>0.15680388262822947</c:v>
                </c:pt>
                <c:pt idx="26">
                  <c:v>0.15487384824200662</c:v>
                </c:pt>
                <c:pt idx="27">
                  <c:v>0.16183084407033771</c:v>
                </c:pt>
                <c:pt idx="28">
                  <c:v>0.16259884772578345</c:v>
                </c:pt>
                <c:pt idx="29">
                  <c:v>0.15589092703470675</c:v>
                </c:pt>
                <c:pt idx="30">
                  <c:v>0.16024514087113173</c:v>
                </c:pt>
                <c:pt idx="31">
                  <c:v>0.16017939514888296</c:v>
                </c:pt>
                <c:pt idx="32">
                  <c:v>0.15865472921990489</c:v>
                </c:pt>
                <c:pt idx="33">
                  <c:v>0.15841859628127289</c:v>
                </c:pt>
                <c:pt idx="34">
                  <c:v>0.1611450425314504</c:v>
                </c:pt>
                <c:pt idx="35">
                  <c:v>0.16502855163524408</c:v>
                </c:pt>
                <c:pt idx="36">
                  <c:v>0.16287982764153358</c:v>
                </c:pt>
                <c:pt idx="37">
                  <c:v>0.16312203417740115</c:v>
                </c:pt>
                <c:pt idx="38">
                  <c:v>0.16554159960153814</c:v>
                </c:pt>
                <c:pt idx="39">
                  <c:v>0.16616186525706289</c:v>
                </c:pt>
                <c:pt idx="40">
                  <c:v>0.16612350206811932</c:v>
                </c:pt>
                <c:pt idx="41">
                  <c:v>0.16825934341168441</c:v>
                </c:pt>
                <c:pt idx="42">
                  <c:v>0.16923035226469252</c:v>
                </c:pt>
                <c:pt idx="43">
                  <c:v>0.17098052106040262</c:v>
                </c:pt>
                <c:pt idx="44">
                  <c:v>0.17211155763833247</c:v>
                </c:pt>
                <c:pt idx="45">
                  <c:v>0.1715735628379968</c:v>
                </c:pt>
                <c:pt idx="46">
                  <c:v>0.17383899321376822</c:v>
                </c:pt>
                <c:pt idx="47">
                  <c:v>0.17395417595710999</c:v>
                </c:pt>
                <c:pt idx="48">
                  <c:v>0.17812566514196362</c:v>
                </c:pt>
                <c:pt idx="49">
                  <c:v>0.18034858180955229</c:v>
                </c:pt>
                <c:pt idx="50">
                  <c:v>0.1815564989755302</c:v>
                </c:pt>
                <c:pt idx="51">
                  <c:v>0.18382754562673775</c:v>
                </c:pt>
                <c:pt idx="52">
                  <c:v>0.18437780464306969</c:v>
                </c:pt>
                <c:pt idx="53">
                  <c:v>0.1871254788362802</c:v>
                </c:pt>
                <c:pt idx="54">
                  <c:v>0.1898282340017716</c:v>
                </c:pt>
                <c:pt idx="55">
                  <c:v>0.19037757905422648</c:v>
                </c:pt>
                <c:pt idx="56">
                  <c:v>0.190458291754178</c:v>
                </c:pt>
                <c:pt idx="57">
                  <c:v>0.19318380213649683</c:v>
                </c:pt>
                <c:pt idx="58">
                  <c:v>0.19699143218185244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D07-4CEB-B7AC-D88641D85984}"/>
            </c:ext>
          </c:extLst>
        </c:ser>
        <c:ser>
          <c:idx val="3"/>
          <c:order val="3"/>
          <c:tx>
            <c:v>diesel-bus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'1_UK stats HDVs'!$D$24:$BJ$24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HDVs'!$D$30:$BJ$30</c:f>
              <c:numCache>
                <c:formatCode>0.00%</c:formatCode>
                <c:ptCount val="59"/>
                <c:pt idx="0">
                  <c:v>0.20625414176561679</c:v>
                </c:pt>
                <c:pt idx="1">
                  <c:v>0.21436333807075292</c:v>
                </c:pt>
                <c:pt idx="2">
                  <c:v>0.22265760476580621</c:v>
                </c:pt>
                <c:pt idx="3">
                  <c:v>0.23112834998814555</c:v>
                </c:pt>
                <c:pt idx="4">
                  <c:v>0.23976557311547667</c:v>
                </c:pt>
                <c:pt idx="5">
                  <c:v>0.24855780614777431</c:v>
                </c:pt>
                <c:pt idx="6">
                  <c:v>0.25749206429415672</c:v>
                </c:pt>
                <c:pt idx="7">
                  <c:v>0.26655380787385718</c:v>
                </c:pt>
                <c:pt idx="8">
                  <c:v>0.27572691778243696</c:v>
                </c:pt>
                <c:pt idx="9">
                  <c:v>0.28499368688821025</c:v>
                </c:pt>
                <c:pt idx="10">
                  <c:v>0.29433482979953851</c:v>
                </c:pt>
                <c:pt idx="11">
                  <c:v>0.2929618639744247</c:v>
                </c:pt>
                <c:pt idx="12">
                  <c:v>0.29399782123437979</c:v>
                </c:pt>
                <c:pt idx="13">
                  <c:v>0.28847343344699417</c:v>
                </c:pt>
                <c:pt idx="14">
                  <c:v>0.28535323694952197</c:v>
                </c:pt>
                <c:pt idx="15">
                  <c:v>0.28472923223878832</c:v>
                </c:pt>
                <c:pt idx="16">
                  <c:v>0.28519871257822771</c:v>
                </c:pt>
                <c:pt idx="17">
                  <c:v>0.27862412842979223</c:v>
                </c:pt>
                <c:pt idx="18">
                  <c:v>0.27891105174861192</c:v>
                </c:pt>
                <c:pt idx="19">
                  <c:v>0.2741058469489156</c:v>
                </c:pt>
                <c:pt idx="20">
                  <c:v>0.28347706586165239</c:v>
                </c:pt>
                <c:pt idx="21">
                  <c:v>0.28796787506449228</c:v>
                </c:pt>
                <c:pt idx="22">
                  <c:v>0.27876133977850903</c:v>
                </c:pt>
                <c:pt idx="23">
                  <c:v>0.26977833979057264</c:v>
                </c:pt>
                <c:pt idx="24">
                  <c:v>0.26088989488500541</c:v>
                </c:pt>
                <c:pt idx="25">
                  <c:v>0.24982665768570456</c:v>
                </c:pt>
                <c:pt idx="26">
                  <c:v>0.23573119177965376</c:v>
                </c:pt>
                <c:pt idx="27">
                  <c:v>0.24315513369166714</c:v>
                </c:pt>
                <c:pt idx="28">
                  <c:v>0.23896796721736419</c:v>
                </c:pt>
                <c:pt idx="29">
                  <c:v>0.25047751090638337</c:v>
                </c:pt>
                <c:pt idx="30">
                  <c:v>0.24848018656349347</c:v>
                </c:pt>
                <c:pt idx="31">
                  <c:v>0.25386590209564397</c:v>
                </c:pt>
                <c:pt idx="32">
                  <c:v>0.24996785870949256</c:v>
                </c:pt>
                <c:pt idx="33">
                  <c:v>0.25096290869438342</c:v>
                </c:pt>
                <c:pt idx="34">
                  <c:v>0.24893042116408015</c:v>
                </c:pt>
                <c:pt idx="35">
                  <c:v>0.25608908340428782</c:v>
                </c:pt>
                <c:pt idx="36">
                  <c:v>0.25645255325714544</c:v>
                </c:pt>
                <c:pt idx="37">
                  <c:v>0.26021189050349336</c:v>
                </c:pt>
                <c:pt idx="38">
                  <c:v>0.26730193279572673</c:v>
                </c:pt>
                <c:pt idx="39">
                  <c:v>0.27354555695030236</c:v>
                </c:pt>
                <c:pt idx="40">
                  <c:v>0.27632465750858737</c:v>
                </c:pt>
                <c:pt idx="41">
                  <c:v>0.27548762510229341</c:v>
                </c:pt>
                <c:pt idx="42">
                  <c:v>0.27308945967800968</c:v>
                </c:pt>
                <c:pt idx="43">
                  <c:v>0.27216593178016302</c:v>
                </c:pt>
                <c:pt idx="44">
                  <c:v>0.27390861541949796</c:v>
                </c:pt>
                <c:pt idx="45">
                  <c:v>0.26985527162359191</c:v>
                </c:pt>
                <c:pt idx="46">
                  <c:v>0.26957372208913732</c:v>
                </c:pt>
                <c:pt idx="47">
                  <c:v>0.26994527516187083</c:v>
                </c:pt>
                <c:pt idx="48">
                  <c:v>0.27901230419627332</c:v>
                </c:pt>
                <c:pt idx="49">
                  <c:v>0.27820437956297184</c:v>
                </c:pt>
                <c:pt idx="50">
                  <c:v>0.27416375809213733</c:v>
                </c:pt>
                <c:pt idx="51">
                  <c:v>0.27440055916354439</c:v>
                </c:pt>
                <c:pt idx="52">
                  <c:v>0.26957463971845869</c:v>
                </c:pt>
                <c:pt idx="53">
                  <c:v>0.27119057530584112</c:v>
                </c:pt>
                <c:pt idx="54">
                  <c:v>0.27087490146620585</c:v>
                </c:pt>
                <c:pt idx="55">
                  <c:v>0.26812865245445505</c:v>
                </c:pt>
                <c:pt idx="56">
                  <c:v>0.2641526910271273</c:v>
                </c:pt>
                <c:pt idx="57">
                  <c:v>0.26421231574353765</c:v>
                </c:pt>
                <c:pt idx="58">
                  <c:v>0.26573713644085517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D07-4CEB-B7AC-D88641D85984}"/>
            </c:ext>
          </c:extLst>
        </c:ser>
        <c:ser>
          <c:idx val="4"/>
          <c:order val="4"/>
          <c:tx>
            <c:v>diesel-truck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'1_UK stats HDVs'!$D$24:$BJ$24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HDVs'!$D$31:$BJ$31</c:f>
              <c:numCache>
                <c:formatCode>0.00%</c:formatCode>
                <c:ptCount val="59"/>
                <c:pt idx="0">
                  <c:v>0.24670520672063156</c:v>
                </c:pt>
                <c:pt idx="1">
                  <c:v>0.25378173125406267</c:v>
                </c:pt>
                <c:pt idx="2">
                  <c:v>0.26094296180156229</c:v>
                </c:pt>
                <c:pt idx="3">
                  <c:v>0.26818118494751719</c:v>
                </c:pt>
                <c:pt idx="4">
                  <c:v>0.27548805110977587</c:v>
                </c:pt>
                <c:pt idx="5">
                  <c:v>0.28285457329759567</c:v>
                </c:pt>
                <c:pt idx="6">
                  <c:v>0.29027113064882692</c:v>
                </c:pt>
                <c:pt idx="7">
                  <c:v>0.29772747724651272</c:v>
                </c:pt>
                <c:pt idx="8">
                  <c:v>0.30521275671000259</c:v>
                </c:pt>
                <c:pt idx="9">
                  <c:v>0.312715523041323</c:v>
                </c:pt>
                <c:pt idx="10">
                  <c:v>0.32022376818259313</c:v>
                </c:pt>
                <c:pt idx="11">
                  <c:v>0.31981301365543657</c:v>
                </c:pt>
                <c:pt idx="12">
                  <c:v>0.32147290925084809</c:v>
                </c:pt>
                <c:pt idx="13">
                  <c:v>0.31580467496711884</c:v>
                </c:pt>
                <c:pt idx="14">
                  <c:v>0.32246609877975785</c:v>
                </c:pt>
                <c:pt idx="15">
                  <c:v>0.31825323799574329</c:v>
                </c:pt>
                <c:pt idx="16">
                  <c:v>0.32435217508562098</c:v>
                </c:pt>
                <c:pt idx="17">
                  <c:v>0.31547016797764443</c:v>
                </c:pt>
                <c:pt idx="18">
                  <c:v>0.32218552526271005</c:v>
                </c:pt>
                <c:pt idx="19">
                  <c:v>0.31811523623691706</c:v>
                </c:pt>
                <c:pt idx="20">
                  <c:v>0.3213288102250953</c:v>
                </c:pt>
                <c:pt idx="21">
                  <c:v>0.32685351423616715</c:v>
                </c:pt>
                <c:pt idx="22">
                  <c:v>0.31753780619697469</c:v>
                </c:pt>
                <c:pt idx="23">
                  <c:v>0.30707942521262999</c:v>
                </c:pt>
                <c:pt idx="24">
                  <c:v>0.29969215289178242</c:v>
                </c:pt>
                <c:pt idx="25">
                  <c:v>0.29373834967208468</c:v>
                </c:pt>
                <c:pt idx="26">
                  <c:v>0.27880728171479885</c:v>
                </c:pt>
                <c:pt idx="27">
                  <c:v>0.28214563606909909</c:v>
                </c:pt>
                <c:pt idx="28">
                  <c:v>0.28277877793300465</c:v>
                </c:pt>
                <c:pt idx="29">
                  <c:v>0.27273626654277394</c:v>
                </c:pt>
                <c:pt idx="30">
                  <c:v>0.27592387113514028</c:v>
                </c:pt>
                <c:pt idx="31">
                  <c:v>0.2774965062536805</c:v>
                </c:pt>
                <c:pt idx="32">
                  <c:v>0.27367195023486957</c:v>
                </c:pt>
                <c:pt idx="33">
                  <c:v>0.27400462083169652</c:v>
                </c:pt>
                <c:pt idx="34">
                  <c:v>0.2716441430239529</c:v>
                </c:pt>
                <c:pt idx="35">
                  <c:v>0.27516617025700901</c:v>
                </c:pt>
                <c:pt idx="36">
                  <c:v>0.27881728414217677</c:v>
                </c:pt>
                <c:pt idx="37">
                  <c:v>0.28446429813055563</c:v>
                </c:pt>
                <c:pt idx="38">
                  <c:v>0.29486015000054244</c:v>
                </c:pt>
                <c:pt idx="39">
                  <c:v>0.3006503008099547</c:v>
                </c:pt>
                <c:pt idx="40">
                  <c:v>0.30663847100017971</c:v>
                </c:pt>
                <c:pt idx="41">
                  <c:v>0.31110730916121437</c:v>
                </c:pt>
                <c:pt idx="42">
                  <c:v>0.31168966639384199</c:v>
                </c:pt>
                <c:pt idx="43">
                  <c:v>0.3125541869499876</c:v>
                </c:pt>
                <c:pt idx="44">
                  <c:v>0.31517484864195566</c:v>
                </c:pt>
                <c:pt idx="45">
                  <c:v>0.31574386058042436</c:v>
                </c:pt>
                <c:pt idx="46">
                  <c:v>0.31889139100080677</c:v>
                </c:pt>
                <c:pt idx="47">
                  <c:v>0.32121776403190205</c:v>
                </c:pt>
                <c:pt idx="48">
                  <c:v>0.32649563966007622</c:v>
                </c:pt>
                <c:pt idx="49">
                  <c:v>0.32709658782956652</c:v>
                </c:pt>
                <c:pt idx="50">
                  <c:v>0.32880126944523108</c:v>
                </c:pt>
                <c:pt idx="51">
                  <c:v>0.33227890152997136</c:v>
                </c:pt>
                <c:pt idx="52">
                  <c:v>0.32784856340877605</c:v>
                </c:pt>
                <c:pt idx="53">
                  <c:v>0.33188077472100103</c:v>
                </c:pt>
                <c:pt idx="54">
                  <c:v>0.33278450495917666</c:v>
                </c:pt>
                <c:pt idx="55">
                  <c:v>0.3325954996837448</c:v>
                </c:pt>
                <c:pt idx="56">
                  <c:v>0.32860930519567033</c:v>
                </c:pt>
                <c:pt idx="57">
                  <c:v>0.33742988730632784</c:v>
                </c:pt>
                <c:pt idx="58">
                  <c:v>0.34098705785836592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D07-4CEB-B7AC-D88641D859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8451552"/>
        <c:axId val="428453848"/>
      </c:lineChart>
      <c:catAx>
        <c:axId val="428451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8453848"/>
        <c:crosses val="autoZero"/>
        <c:auto val="1"/>
        <c:lblAlgn val="ctr"/>
        <c:lblOffset val="100"/>
        <c:noMultiLvlLbl val="0"/>
      </c:catAx>
      <c:valAx>
        <c:axId val="428453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8451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'Daw2013'!$D$49:$F$49</c:f>
              <c:strCache>
                <c:ptCount val="3"/>
                <c:pt idx="0">
                  <c:v>UDDS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'Daw2013'!$D$50:$F$50</c:f>
              <c:numCache>
                <c:formatCode>General</c:formatCode>
                <c:ptCount val="3"/>
                <c:pt idx="0">
                  <c:v>16</c:v>
                </c:pt>
                <c:pt idx="1">
                  <c:v>25</c:v>
                </c:pt>
                <c:pt idx="2">
                  <c:v>35</c:v>
                </c:pt>
              </c:numCache>
            </c:numRef>
          </c:xVal>
          <c:yVal>
            <c:numRef>
              <c:f>'Daw2013'!$D$51:$F$51</c:f>
              <c:numCache>
                <c:formatCode>General</c:formatCode>
                <c:ptCount val="3"/>
                <c:pt idx="0">
                  <c:v>4.9000000000000004</c:v>
                </c:pt>
                <c:pt idx="1">
                  <c:v>4</c:v>
                </c:pt>
                <c:pt idx="2">
                  <c:v>3.5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42E-B54B-A7AF-2BD1BC9145D9}"/>
            </c:ext>
          </c:extLst>
        </c:ser>
        <c:ser>
          <c:idx val="1"/>
          <c:order val="1"/>
          <c:tx>
            <c:strRef>
              <c:f>'Daw2013'!$G$49:$I$49</c:f>
              <c:strCache>
                <c:ptCount val="3"/>
                <c:pt idx="0">
                  <c:v>CSHVR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'Daw2013'!$G$50:$I$50</c:f>
              <c:numCache>
                <c:formatCode>General</c:formatCode>
                <c:ptCount val="3"/>
                <c:pt idx="0">
                  <c:v>16</c:v>
                </c:pt>
                <c:pt idx="1">
                  <c:v>25</c:v>
                </c:pt>
                <c:pt idx="2">
                  <c:v>35</c:v>
                </c:pt>
              </c:numCache>
            </c:numRef>
          </c:xVal>
          <c:yVal>
            <c:numRef>
              <c:f>'Daw2013'!$G$51:$I$51</c:f>
              <c:numCache>
                <c:formatCode>General</c:formatCode>
                <c:ptCount val="3"/>
                <c:pt idx="0">
                  <c:v>4.5</c:v>
                </c:pt>
                <c:pt idx="1">
                  <c:v>3.7</c:v>
                </c:pt>
                <c:pt idx="2">
                  <c:v>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42E-B54B-A7AF-2BD1BC9145D9}"/>
            </c:ext>
          </c:extLst>
        </c:ser>
        <c:ser>
          <c:idx val="2"/>
          <c:order val="2"/>
          <c:tx>
            <c:strRef>
              <c:f>'Daw2013'!$J$49:$L$49</c:f>
              <c:strCache>
                <c:ptCount val="3"/>
                <c:pt idx="0">
                  <c:v>HHDDT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'Daw2013'!$J$50:$L$50</c:f>
              <c:numCache>
                <c:formatCode>General</c:formatCode>
                <c:ptCount val="3"/>
                <c:pt idx="0">
                  <c:v>16</c:v>
                </c:pt>
                <c:pt idx="1">
                  <c:v>25</c:v>
                </c:pt>
                <c:pt idx="2">
                  <c:v>35</c:v>
                </c:pt>
              </c:numCache>
            </c:numRef>
          </c:xVal>
          <c:yVal>
            <c:numRef>
              <c:f>'Daw2013'!$J$51:$L$51</c:f>
              <c:numCache>
                <c:formatCode>General</c:formatCode>
                <c:ptCount val="3"/>
                <c:pt idx="0">
                  <c:v>6.4</c:v>
                </c:pt>
                <c:pt idx="1">
                  <c:v>5.7</c:v>
                </c:pt>
                <c:pt idx="2">
                  <c:v>4.9000000000000004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042E-B54B-A7AF-2BD1BC9145D9}"/>
            </c:ext>
          </c:extLst>
        </c:ser>
        <c:ser>
          <c:idx val="3"/>
          <c:order val="3"/>
          <c:tx>
            <c:strRef>
              <c:f>'Daw2013'!$M$49:$O$49</c:f>
              <c:strCache>
                <c:ptCount val="3"/>
                <c:pt idx="0">
                  <c:v>FDHDT a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Ref>
              <c:f>'Daw2013'!$M$50:$O$50</c:f>
              <c:numCache>
                <c:formatCode>General</c:formatCode>
                <c:ptCount val="3"/>
                <c:pt idx="0">
                  <c:v>16</c:v>
                </c:pt>
                <c:pt idx="1">
                  <c:v>25</c:v>
                </c:pt>
                <c:pt idx="2">
                  <c:v>35</c:v>
                </c:pt>
              </c:numCache>
            </c:numRef>
          </c:xVal>
          <c:yVal>
            <c:numRef>
              <c:f>'Daw2013'!$M$51:$O$51</c:f>
              <c:numCache>
                <c:formatCode>General</c:formatCode>
                <c:ptCount val="3"/>
                <c:pt idx="0">
                  <c:v>6</c:v>
                </c:pt>
                <c:pt idx="1">
                  <c:v>5.2</c:v>
                </c:pt>
                <c:pt idx="2">
                  <c:v>4.5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042E-B54B-A7AF-2BD1BC9145D9}"/>
            </c:ext>
          </c:extLst>
        </c:ser>
        <c:ser>
          <c:idx val="4"/>
          <c:order val="4"/>
          <c:tx>
            <c:strRef>
              <c:f>'Daw2013'!$P$49:$R$49</c:f>
              <c:strCache>
                <c:ptCount val="3"/>
                <c:pt idx="0">
                  <c:v>FDHDT b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'Daw2013'!$P$50:$R$50</c:f>
              <c:numCache>
                <c:formatCode>General</c:formatCode>
                <c:ptCount val="3"/>
                <c:pt idx="0">
                  <c:v>16</c:v>
                </c:pt>
                <c:pt idx="1">
                  <c:v>25</c:v>
                </c:pt>
                <c:pt idx="2">
                  <c:v>35</c:v>
                </c:pt>
              </c:numCache>
            </c:numRef>
          </c:xVal>
          <c:yVal>
            <c:numRef>
              <c:f>'Daw2013'!$P$51:$R$51</c:f>
              <c:numCache>
                <c:formatCode>General</c:formatCode>
                <c:ptCount val="3"/>
                <c:pt idx="0">
                  <c:v>6.9</c:v>
                </c:pt>
                <c:pt idx="1">
                  <c:v>5.2</c:v>
                </c:pt>
                <c:pt idx="2">
                  <c:v>4.5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042E-B54B-A7AF-2BD1BC9145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20145759"/>
        <c:axId val="1415822335"/>
      </c:scatterChart>
      <c:valAx>
        <c:axId val="142014575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Weight</a:t>
                </a:r>
                <a:r>
                  <a:rPr lang="en-US" baseline="0"/>
                  <a:t> load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5822335"/>
        <c:crosses val="autoZero"/>
        <c:crossBetween val="midCat"/>
      </c:valAx>
      <c:valAx>
        <c:axId val="14158223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014575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Regional</a:t>
            </a:r>
            <a:r>
              <a:rPr lang="en-US" baseline="0"/>
              <a:t> fuel consumption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Delgado2017!$C$37:$C$41</c:f>
              <c:strCache>
                <c:ptCount val="5"/>
                <c:pt idx="0">
                  <c:v>Baseline</c:v>
                </c:pt>
                <c:pt idx="1">
                  <c:v>2017</c:v>
                </c:pt>
                <c:pt idx="2">
                  <c:v>2020+</c:v>
                </c:pt>
                <c:pt idx="3">
                  <c:v>2020 WHR</c:v>
                </c:pt>
                <c:pt idx="4">
                  <c:v>long term</c:v>
                </c:pt>
              </c:strCache>
            </c:strRef>
          </c:cat>
          <c:val>
            <c:numRef>
              <c:f>Delgado2017!$D$37:$D$41</c:f>
              <c:numCache>
                <c:formatCode>General</c:formatCode>
                <c:ptCount val="5"/>
                <c:pt idx="0">
                  <c:v>36.369999999999997</c:v>
                </c:pt>
                <c:pt idx="1">
                  <c:v>35.17</c:v>
                </c:pt>
                <c:pt idx="2">
                  <c:v>33.28</c:v>
                </c:pt>
                <c:pt idx="3">
                  <c:v>32.32</c:v>
                </c:pt>
                <c:pt idx="4">
                  <c:v>30.64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4DF-4F4D-9085-85D4ED961B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14427871"/>
        <c:axId val="1486495151"/>
      </c:barChart>
      <c:catAx>
        <c:axId val="15144278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6495151"/>
        <c:crosses val="autoZero"/>
        <c:auto val="1"/>
        <c:lblAlgn val="ctr"/>
        <c:lblOffset val="100"/>
        <c:noMultiLvlLbl val="0"/>
      </c:catAx>
      <c:valAx>
        <c:axId val="148649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144278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aseline="0"/>
              <a:t>Long haul fuel consumption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Delgado2017!$C$37:$C$41</c:f>
              <c:strCache>
                <c:ptCount val="5"/>
                <c:pt idx="0">
                  <c:v>Baseline</c:v>
                </c:pt>
                <c:pt idx="1">
                  <c:v>2017</c:v>
                </c:pt>
                <c:pt idx="2">
                  <c:v>2020+</c:v>
                </c:pt>
                <c:pt idx="3">
                  <c:v>2020 WHR</c:v>
                </c:pt>
                <c:pt idx="4">
                  <c:v>long term</c:v>
                </c:pt>
              </c:strCache>
            </c:strRef>
          </c:cat>
          <c:val>
            <c:numRef>
              <c:f>Delgado2017!$E$37:$E$41</c:f>
              <c:numCache>
                <c:formatCode>General</c:formatCode>
                <c:ptCount val="5"/>
                <c:pt idx="0">
                  <c:v>33.06</c:v>
                </c:pt>
                <c:pt idx="1">
                  <c:v>31.97</c:v>
                </c:pt>
                <c:pt idx="2">
                  <c:v>29.91</c:v>
                </c:pt>
                <c:pt idx="3">
                  <c:v>29.18</c:v>
                </c:pt>
                <c:pt idx="4">
                  <c:v>27.07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62-6A49-9CC7-A6C0F419F8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14427871"/>
        <c:axId val="1486495151"/>
      </c:barChart>
      <c:catAx>
        <c:axId val="15144278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6495151"/>
        <c:crosses val="autoZero"/>
        <c:auto val="1"/>
        <c:lblAlgn val="ctr"/>
        <c:lblOffset val="100"/>
        <c:noMultiLvlLbl val="0"/>
      </c:catAx>
      <c:valAx>
        <c:axId val="148649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144278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Delgado_2016!$N$40</c:f>
              <c:strCache>
                <c:ptCount val="1"/>
                <c:pt idx="0">
                  <c:v>fuel consumption [l/100km]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Delgado_2016!$M$41:$M$55</c:f>
              <c:strCache>
                <c:ptCount val="15"/>
                <c:pt idx="0">
                  <c:v>empty</c:v>
                </c:pt>
                <c:pt idx="1">
                  <c:v>Brazil half</c:v>
                </c:pt>
                <c:pt idx="2">
                  <c:v>full</c:v>
                </c:pt>
                <c:pt idx="3">
                  <c:v>empty</c:v>
                </c:pt>
                <c:pt idx="4">
                  <c:v>China half</c:v>
                </c:pt>
                <c:pt idx="5">
                  <c:v>full</c:v>
                </c:pt>
                <c:pt idx="6">
                  <c:v>empty</c:v>
                </c:pt>
                <c:pt idx="7">
                  <c:v>EU half</c:v>
                </c:pt>
                <c:pt idx="8">
                  <c:v>full</c:v>
                </c:pt>
                <c:pt idx="9">
                  <c:v>empty</c:v>
                </c:pt>
                <c:pt idx="10">
                  <c:v>India half</c:v>
                </c:pt>
                <c:pt idx="11">
                  <c:v>full</c:v>
                </c:pt>
                <c:pt idx="12">
                  <c:v>empty</c:v>
                </c:pt>
                <c:pt idx="13">
                  <c:v>US half</c:v>
                </c:pt>
                <c:pt idx="14">
                  <c:v>full</c:v>
                </c:pt>
              </c:strCache>
            </c:strRef>
          </c:cat>
          <c:val>
            <c:numRef>
              <c:f>Delgado_2016!$N$41:$N$55</c:f>
              <c:numCache>
                <c:formatCode>General</c:formatCode>
                <c:ptCount val="15"/>
                <c:pt idx="0">
                  <c:v>28</c:v>
                </c:pt>
                <c:pt idx="1">
                  <c:v>34</c:v>
                </c:pt>
                <c:pt idx="2">
                  <c:v>39</c:v>
                </c:pt>
                <c:pt idx="3">
                  <c:v>27</c:v>
                </c:pt>
                <c:pt idx="4">
                  <c:v>35</c:v>
                </c:pt>
                <c:pt idx="5">
                  <c:v>41</c:v>
                </c:pt>
                <c:pt idx="6">
                  <c:v>25</c:v>
                </c:pt>
                <c:pt idx="7">
                  <c:v>31</c:v>
                </c:pt>
                <c:pt idx="8">
                  <c:v>35</c:v>
                </c:pt>
                <c:pt idx="9">
                  <c:v>26</c:v>
                </c:pt>
                <c:pt idx="10">
                  <c:v>41</c:v>
                </c:pt>
                <c:pt idx="11">
                  <c:v>54</c:v>
                </c:pt>
                <c:pt idx="12">
                  <c:v>32</c:v>
                </c:pt>
                <c:pt idx="13">
                  <c:v>37</c:v>
                </c:pt>
                <c:pt idx="14">
                  <c:v>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3C-3F44-839C-7241ECDC82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96751759"/>
        <c:axId val="1497625727"/>
      </c:barChart>
      <c:catAx>
        <c:axId val="13967517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7625727"/>
        <c:crosses val="autoZero"/>
        <c:auto val="1"/>
        <c:lblAlgn val="ctr"/>
        <c:lblOffset val="100"/>
        <c:noMultiLvlLbl val="0"/>
      </c:catAx>
      <c:valAx>
        <c:axId val="1497625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967517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weller2019!$L$15</c:f>
              <c:strCache>
                <c:ptCount val="1"/>
                <c:pt idx="0">
                  <c:v>Fuel consumption [l/100km]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weller2019!$K$16:$K$24</c:f>
              <c:strCache>
                <c:ptCount val="9"/>
                <c:pt idx="0">
                  <c:v>EU0</c:v>
                </c:pt>
                <c:pt idx="1">
                  <c:v>EUII</c:v>
                </c:pt>
                <c:pt idx="2">
                  <c:v>EUII</c:v>
                </c:pt>
                <c:pt idx="3">
                  <c:v>EUIII</c:v>
                </c:pt>
                <c:pt idx="4">
                  <c:v>EUIV EGR</c:v>
                </c:pt>
                <c:pt idx="5">
                  <c:v>EUIV SCR</c:v>
                </c:pt>
                <c:pt idx="6">
                  <c:v>EUV EGR</c:v>
                </c:pt>
                <c:pt idx="7">
                  <c:v>EUV SCR</c:v>
                </c:pt>
                <c:pt idx="8">
                  <c:v>EUVI</c:v>
                </c:pt>
              </c:strCache>
            </c:strRef>
          </c:cat>
          <c:val>
            <c:numRef>
              <c:f>weller2019!$L$16:$L$24</c:f>
              <c:numCache>
                <c:formatCode>General</c:formatCode>
                <c:ptCount val="9"/>
                <c:pt idx="0">
                  <c:v>38</c:v>
                </c:pt>
                <c:pt idx="1">
                  <c:v>36.5</c:v>
                </c:pt>
                <c:pt idx="2">
                  <c:v>34.700000000000003</c:v>
                </c:pt>
                <c:pt idx="3">
                  <c:v>34.6</c:v>
                </c:pt>
                <c:pt idx="4">
                  <c:v>34.700000000000003</c:v>
                </c:pt>
                <c:pt idx="5">
                  <c:v>34.200000000000003</c:v>
                </c:pt>
                <c:pt idx="6">
                  <c:v>33.299999999999997</c:v>
                </c:pt>
                <c:pt idx="7">
                  <c:v>32.700000000000003</c:v>
                </c:pt>
                <c:pt idx="8">
                  <c:v>32.299999999999997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C6-3540-806B-15B33F708B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32835983"/>
        <c:axId val="1497051871"/>
      </c:barChart>
      <c:catAx>
        <c:axId val="14328359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7051871"/>
        <c:crosses val="autoZero"/>
        <c:auto val="1"/>
        <c:lblAlgn val="ctr"/>
        <c:lblOffset val="100"/>
        <c:noMultiLvlLbl val="0"/>
      </c:catAx>
      <c:valAx>
        <c:axId val="1497051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28359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schoettle2016!$E$66</c:f>
              <c:strCache>
                <c:ptCount val="1"/>
                <c:pt idx="0">
                  <c:v>Fuel economy[mpg]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schoettle2016!$D$67:$D$71</c:f>
              <c:strCache>
                <c:ptCount val="5"/>
                <c:pt idx="0">
                  <c:v>1-20</c:v>
                </c:pt>
                <c:pt idx="1">
                  <c:v>21-100</c:v>
                </c:pt>
                <c:pt idx="2">
                  <c:v>101-500</c:v>
                </c:pt>
                <c:pt idx="3">
                  <c:v>501-more</c:v>
                </c:pt>
                <c:pt idx="4">
                  <c:v>Avg</c:v>
                </c:pt>
              </c:strCache>
            </c:strRef>
          </c:cat>
          <c:val>
            <c:numRef>
              <c:f>schoettle2016!$E$67:$E$71</c:f>
              <c:numCache>
                <c:formatCode>General</c:formatCode>
                <c:ptCount val="5"/>
                <c:pt idx="0">
                  <c:v>6.2</c:v>
                </c:pt>
                <c:pt idx="1">
                  <c:v>6.2</c:v>
                </c:pt>
                <c:pt idx="2">
                  <c:v>6.5</c:v>
                </c:pt>
                <c:pt idx="3">
                  <c:v>6.7</c:v>
                </c:pt>
                <c:pt idx="4">
                  <c:v>6.3999999999999995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BE-8F41-B18B-DC289A6141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96091983"/>
        <c:axId val="1488404527"/>
      </c:barChart>
      <c:catAx>
        <c:axId val="14960919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8404527"/>
        <c:crosses val="autoZero"/>
        <c:auto val="1"/>
        <c:lblAlgn val="ctr"/>
        <c:lblOffset val="100"/>
        <c:noMultiLvlLbl val="0"/>
      </c:catAx>
      <c:valAx>
        <c:axId val="1488404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919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Real-world heavy</a:t>
            </a:r>
            <a:r>
              <a:rPr lang="en-GB" baseline="0"/>
              <a:t> duty </a:t>
            </a:r>
            <a:r>
              <a:rPr lang="en-GB"/>
              <a:t>vehicles fuel economy l/100km (diesel)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'1_HDV calcs'!$C$59</c:f>
              <c:strCache>
                <c:ptCount val="1"/>
                <c:pt idx="0">
                  <c:v>HDVs diesel - lower bound</c:v>
                </c:pt>
              </c:strCache>
            </c:strRef>
          </c:tx>
          <c:spPr>
            <a:ln w="28575" cap="rnd">
              <a:solidFill>
                <a:schemeClr val="accent1"/>
              </a:solidFill>
              <a:prstDash val="sysDot"/>
              <a:round/>
            </a:ln>
            <a:effectLst/>
          </c:spPr>
          <c:marker>
            <c:symbol val="none"/>
          </c:marker>
          <c:cat>
            <c:numRef>
              <c:f>'1_HDV calcs'!$E$58:$BL$58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'1_HDV calcs'!$E$59:$BL$59</c:f>
              <c:numCache>
                <c:formatCode>0.00</c:formatCode>
                <c:ptCount val="60"/>
                <c:pt idx="0" formatCode="0.0">
                  <c:v>43</c:v>
                </c:pt>
                <c:pt idx="1">
                  <c:v>42.88</c:v>
                </c:pt>
                <c:pt idx="2">
                  <c:v>42.760000000000005</c:v>
                </c:pt>
                <c:pt idx="3">
                  <c:v>42.640000000000008</c:v>
                </c:pt>
                <c:pt idx="4">
                  <c:v>42.52000000000001</c:v>
                </c:pt>
                <c:pt idx="5">
                  <c:v>42.400000000000013</c:v>
                </c:pt>
                <c:pt idx="6">
                  <c:v>42.280000000000015</c:v>
                </c:pt>
                <c:pt idx="7">
                  <c:v>42.160000000000018</c:v>
                </c:pt>
                <c:pt idx="8">
                  <c:v>42.04000000000002</c:v>
                </c:pt>
                <c:pt idx="9">
                  <c:v>41.920000000000023</c:v>
                </c:pt>
                <c:pt idx="10">
                  <c:v>41.800000000000026</c:v>
                </c:pt>
                <c:pt idx="11">
                  <c:v>41.680000000000028</c:v>
                </c:pt>
                <c:pt idx="12">
                  <c:v>41.560000000000031</c:v>
                </c:pt>
                <c:pt idx="13">
                  <c:v>41.440000000000033</c:v>
                </c:pt>
                <c:pt idx="14">
                  <c:v>41.320000000000036</c:v>
                </c:pt>
                <c:pt idx="15">
                  <c:v>41.200000000000038</c:v>
                </c:pt>
                <c:pt idx="16">
                  <c:v>41.080000000000041</c:v>
                </c:pt>
                <c:pt idx="17">
                  <c:v>40.960000000000043</c:v>
                </c:pt>
                <c:pt idx="18">
                  <c:v>40.840000000000046</c:v>
                </c:pt>
                <c:pt idx="19">
                  <c:v>40.720000000000049</c:v>
                </c:pt>
                <c:pt idx="20">
                  <c:v>40.600000000000051</c:v>
                </c:pt>
                <c:pt idx="21">
                  <c:v>40.480000000000054</c:v>
                </c:pt>
                <c:pt idx="22">
                  <c:v>40.360000000000056</c:v>
                </c:pt>
                <c:pt idx="23">
                  <c:v>40.240000000000059</c:v>
                </c:pt>
                <c:pt idx="24">
                  <c:v>40.120000000000061</c:v>
                </c:pt>
                <c:pt idx="25">
                  <c:v>40.000000000000064</c:v>
                </c:pt>
                <c:pt idx="26">
                  <c:v>39.880000000000067</c:v>
                </c:pt>
                <c:pt idx="27">
                  <c:v>39.760000000000069</c:v>
                </c:pt>
                <c:pt idx="28">
                  <c:v>39.640000000000072</c:v>
                </c:pt>
                <c:pt idx="29">
                  <c:v>39.520000000000074</c:v>
                </c:pt>
                <c:pt idx="30">
                  <c:v>39.400000000000077</c:v>
                </c:pt>
                <c:pt idx="31">
                  <c:v>39.280000000000079</c:v>
                </c:pt>
                <c:pt idx="32">
                  <c:v>39.160000000000082</c:v>
                </c:pt>
                <c:pt idx="33">
                  <c:v>39.040000000000084</c:v>
                </c:pt>
                <c:pt idx="34">
                  <c:v>38.920000000000087</c:v>
                </c:pt>
                <c:pt idx="35">
                  <c:v>38.80000000000009</c:v>
                </c:pt>
                <c:pt idx="36">
                  <c:v>38.680000000000092</c:v>
                </c:pt>
                <c:pt idx="37">
                  <c:v>38.560000000000095</c:v>
                </c:pt>
                <c:pt idx="38">
                  <c:v>38.440000000000097</c:v>
                </c:pt>
                <c:pt idx="39">
                  <c:v>38.3200000000001</c:v>
                </c:pt>
                <c:pt idx="40">
                  <c:v>38.200000000000102</c:v>
                </c:pt>
                <c:pt idx="41">
                  <c:v>38.080000000000105</c:v>
                </c:pt>
                <c:pt idx="42">
                  <c:v>37.960000000000107</c:v>
                </c:pt>
                <c:pt idx="43">
                  <c:v>37.84000000000011</c:v>
                </c:pt>
                <c:pt idx="44">
                  <c:v>37.720000000000113</c:v>
                </c:pt>
                <c:pt idx="45">
                  <c:v>37.600000000000115</c:v>
                </c:pt>
                <c:pt idx="46">
                  <c:v>37.480000000000118</c:v>
                </c:pt>
                <c:pt idx="47">
                  <c:v>37.36000000000012</c:v>
                </c:pt>
                <c:pt idx="48">
                  <c:v>37.240000000000123</c:v>
                </c:pt>
                <c:pt idx="49">
                  <c:v>37.120000000000125</c:v>
                </c:pt>
                <c:pt idx="50">
                  <c:v>37.000000000000128</c:v>
                </c:pt>
                <c:pt idx="51">
                  <c:v>36.88000000000013</c:v>
                </c:pt>
                <c:pt idx="52">
                  <c:v>36.760000000000133</c:v>
                </c:pt>
                <c:pt idx="53">
                  <c:v>36.640000000000136</c:v>
                </c:pt>
                <c:pt idx="54">
                  <c:v>36.520000000000138</c:v>
                </c:pt>
                <c:pt idx="55">
                  <c:v>36.400000000000141</c:v>
                </c:pt>
                <c:pt idx="56">
                  <c:v>36.280000000000143</c:v>
                </c:pt>
                <c:pt idx="57">
                  <c:v>36.160000000000146</c:v>
                </c:pt>
                <c:pt idx="58">
                  <c:v>36.040000000000148</c:v>
                </c:pt>
                <c:pt idx="59">
                  <c:v>35.920000000000151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181-4855-8BF8-9CFEF65B6A02}"/>
            </c:ext>
          </c:extLst>
        </c:ser>
        <c:ser>
          <c:idx val="1"/>
          <c:order val="1"/>
          <c:tx>
            <c:strRef>
              <c:f>'1_HDV calcs'!$C$60</c:f>
              <c:strCache>
                <c:ptCount val="1"/>
                <c:pt idx="0">
                  <c:v>HDVs diesel - middle bound</c:v>
                </c:pt>
              </c:strCache>
            </c:strRef>
          </c:tx>
          <c:spPr>
            <a:ln w="28575" cap="rnd">
              <a:solidFill>
                <a:schemeClr val="accent2"/>
              </a:solidFill>
              <a:prstDash val="sysDot"/>
              <a:round/>
            </a:ln>
            <a:effectLst/>
          </c:spPr>
          <c:marker>
            <c:symbol val="none"/>
          </c:marker>
          <c:cat>
            <c:numRef>
              <c:f>'1_HDV calcs'!$E$58:$BL$58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'1_HDV calcs'!$E$60:$BL$60</c:f>
              <c:numCache>
                <c:formatCode>0.0</c:formatCode>
                <c:ptCount val="60"/>
                <c:pt idx="0">
                  <c:v>28.135300000000001</c:v>
                </c:pt>
                <c:pt idx="1">
                  <c:v>28.625540000000001</c:v>
                </c:pt>
                <c:pt idx="2">
                  <c:v>29.088335000000001</c:v>
                </c:pt>
                <c:pt idx="3">
                  <c:v>29.524320000000003</c:v>
                </c:pt>
                <c:pt idx="4">
                  <c:v>29.934125000000005</c:v>
                </c:pt>
                <c:pt idx="5">
                  <c:v>30.318380000000005</c:v>
                </c:pt>
                <c:pt idx="6">
                  <c:v>30.677715000000006</c:v>
                </c:pt>
                <c:pt idx="7">
                  <c:v>31.012760000000007</c:v>
                </c:pt>
                <c:pt idx="8">
                  <c:v>31.324145000000012</c:v>
                </c:pt>
                <c:pt idx="9">
                  <c:v>31.612500000000011</c:v>
                </c:pt>
                <c:pt idx="10">
                  <c:v>31.878455000000013</c:v>
                </c:pt>
                <c:pt idx="11">
                  <c:v>32.122640000000018</c:v>
                </c:pt>
                <c:pt idx="12">
                  <c:v>32.345685000000017</c:v>
                </c:pt>
                <c:pt idx="13">
                  <c:v>32.548220000000015</c:v>
                </c:pt>
                <c:pt idx="14">
                  <c:v>32.730875000000019</c:v>
                </c:pt>
                <c:pt idx="15">
                  <c:v>32.894280000000023</c:v>
                </c:pt>
                <c:pt idx="16">
                  <c:v>33.039065000000022</c:v>
                </c:pt>
                <c:pt idx="17">
                  <c:v>33.165860000000023</c:v>
                </c:pt>
                <c:pt idx="18">
                  <c:v>33.275295000000028</c:v>
                </c:pt>
                <c:pt idx="19">
                  <c:v>33.368000000000023</c:v>
                </c:pt>
                <c:pt idx="20">
                  <c:v>33.444605000000024</c:v>
                </c:pt>
                <c:pt idx="21">
                  <c:v>33.505740000000031</c:v>
                </c:pt>
                <c:pt idx="22">
                  <c:v>33.552035000000032</c:v>
                </c:pt>
                <c:pt idx="23">
                  <c:v>33.584120000000027</c:v>
                </c:pt>
                <c:pt idx="24">
                  <c:v>33.602625000000032</c:v>
                </c:pt>
                <c:pt idx="25">
                  <c:v>33.608180000000033</c:v>
                </c:pt>
                <c:pt idx="26">
                  <c:v>33.601415000000031</c:v>
                </c:pt>
                <c:pt idx="27">
                  <c:v>33.582960000000035</c:v>
                </c:pt>
                <c:pt idx="28">
                  <c:v>33.553445000000039</c:v>
                </c:pt>
                <c:pt idx="29">
                  <c:v>33.513500000000043</c:v>
                </c:pt>
                <c:pt idx="30">
                  <c:v>33.463755000000042</c:v>
                </c:pt>
                <c:pt idx="31">
                  <c:v>33.404840000000043</c:v>
                </c:pt>
                <c:pt idx="32">
                  <c:v>33.33738500000004</c:v>
                </c:pt>
                <c:pt idx="33">
                  <c:v>33.262020000000042</c:v>
                </c:pt>
                <c:pt idx="34">
                  <c:v>33.17937500000005</c:v>
                </c:pt>
                <c:pt idx="35">
                  <c:v>33.090080000000043</c:v>
                </c:pt>
                <c:pt idx="36">
                  <c:v>32.994765000000044</c:v>
                </c:pt>
                <c:pt idx="37">
                  <c:v>32.894060000000046</c:v>
                </c:pt>
                <c:pt idx="38">
                  <c:v>32.788595000000051</c:v>
                </c:pt>
                <c:pt idx="39">
                  <c:v>32.679000000000052</c:v>
                </c:pt>
                <c:pt idx="40">
                  <c:v>32.565905000000051</c:v>
                </c:pt>
                <c:pt idx="41">
                  <c:v>32.449940000000055</c:v>
                </c:pt>
                <c:pt idx="42">
                  <c:v>32.331735000000059</c:v>
                </c:pt>
                <c:pt idx="43">
                  <c:v>32.211920000000056</c:v>
                </c:pt>
                <c:pt idx="44">
                  <c:v>32.091125000000055</c:v>
                </c:pt>
                <c:pt idx="45">
                  <c:v>31.969980000000056</c:v>
                </c:pt>
                <c:pt idx="46">
                  <c:v>31.849115000000062</c:v>
                </c:pt>
                <c:pt idx="47">
                  <c:v>31.729160000000064</c:v>
                </c:pt>
                <c:pt idx="48">
                  <c:v>31.610745000000065</c:v>
                </c:pt>
                <c:pt idx="49">
                  <c:v>31.494500000000066</c:v>
                </c:pt>
                <c:pt idx="50">
                  <c:v>31.38105500000006</c:v>
                </c:pt>
                <c:pt idx="51">
                  <c:v>31.27104000000007</c:v>
                </c:pt>
                <c:pt idx="52">
                  <c:v>31.165085000000069</c:v>
                </c:pt>
                <c:pt idx="53">
                  <c:v>31.063820000000071</c:v>
                </c:pt>
                <c:pt idx="54">
                  <c:v>30.967875000000078</c:v>
                </c:pt>
                <c:pt idx="55">
                  <c:v>30.877880000000076</c:v>
                </c:pt>
                <c:pt idx="56">
                  <c:v>30.794465000000073</c:v>
                </c:pt>
                <c:pt idx="57">
                  <c:v>30.718260000000072</c:v>
                </c:pt>
                <c:pt idx="58">
                  <c:v>30.649895000000072</c:v>
                </c:pt>
                <c:pt idx="59">
                  <c:v>30.590000000000082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181-4855-8BF8-9CFEF65B6A02}"/>
            </c:ext>
          </c:extLst>
        </c:ser>
        <c:ser>
          <c:idx val="2"/>
          <c:order val="2"/>
          <c:tx>
            <c:strRef>
              <c:f>'1_HDV calcs'!$C$61</c:f>
              <c:strCache>
                <c:ptCount val="1"/>
                <c:pt idx="0">
                  <c:v>HDVs diesel - upper bound</c:v>
                </c:pt>
              </c:strCache>
            </c:strRef>
          </c:tx>
          <c:spPr>
            <a:ln w="28575" cap="rnd">
              <a:solidFill>
                <a:schemeClr val="accent3"/>
              </a:solidFill>
              <a:prstDash val="sysDot"/>
              <a:round/>
            </a:ln>
            <a:effectLst/>
          </c:spPr>
          <c:marker>
            <c:symbol val="none"/>
          </c:marker>
          <c:cat>
            <c:numRef>
              <c:f>'1_HDV calcs'!$E$58:$BL$58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'1_HDV calcs'!$E$61:$BL$61</c:f>
              <c:numCache>
                <c:formatCode>0.0</c:formatCode>
                <c:ptCount val="60"/>
                <c:pt idx="0">
                  <c:v>13.270600000000002</c:v>
                </c:pt>
                <c:pt idx="1">
                  <c:v>14.371080000000001</c:v>
                </c:pt>
                <c:pt idx="2">
                  <c:v>15.41667</c:v>
                </c:pt>
                <c:pt idx="3">
                  <c:v>16.408640000000002</c:v>
                </c:pt>
                <c:pt idx="4">
                  <c:v>17.34825</c:v>
                </c:pt>
                <c:pt idx="5">
                  <c:v>18.23676</c:v>
                </c:pt>
                <c:pt idx="6">
                  <c:v>19.075430000000001</c:v>
                </c:pt>
                <c:pt idx="7">
                  <c:v>19.86552</c:v>
                </c:pt>
                <c:pt idx="8">
                  <c:v>20.608290000000004</c:v>
                </c:pt>
                <c:pt idx="9">
                  <c:v>21.305</c:v>
                </c:pt>
                <c:pt idx="10">
                  <c:v>21.956910000000001</c:v>
                </c:pt>
                <c:pt idx="11">
                  <c:v>22.565280000000001</c:v>
                </c:pt>
                <c:pt idx="12">
                  <c:v>23.13137</c:v>
                </c:pt>
                <c:pt idx="13">
                  <c:v>23.656440000000003</c:v>
                </c:pt>
                <c:pt idx="14">
                  <c:v>24.141750000000002</c:v>
                </c:pt>
                <c:pt idx="15">
                  <c:v>24.588560000000001</c:v>
                </c:pt>
                <c:pt idx="16">
                  <c:v>24.99813</c:v>
                </c:pt>
                <c:pt idx="17">
                  <c:v>25.371720000000003</c:v>
                </c:pt>
                <c:pt idx="18">
                  <c:v>25.710590000000003</c:v>
                </c:pt>
                <c:pt idx="19">
                  <c:v>26.016000000000002</c:v>
                </c:pt>
                <c:pt idx="20">
                  <c:v>26.289210000000001</c:v>
                </c:pt>
                <c:pt idx="21">
                  <c:v>26.531480000000002</c:v>
                </c:pt>
                <c:pt idx="22">
                  <c:v>26.744070000000001</c:v>
                </c:pt>
                <c:pt idx="23">
                  <c:v>26.928240000000002</c:v>
                </c:pt>
                <c:pt idx="24">
                  <c:v>27.085250000000002</c:v>
                </c:pt>
                <c:pt idx="25">
                  <c:v>27.216360000000002</c:v>
                </c:pt>
                <c:pt idx="26">
                  <c:v>27.322830000000003</c:v>
                </c:pt>
                <c:pt idx="27">
                  <c:v>27.405920000000002</c:v>
                </c:pt>
                <c:pt idx="28">
                  <c:v>27.466889999999999</c:v>
                </c:pt>
                <c:pt idx="29">
                  <c:v>27.507000000000009</c:v>
                </c:pt>
                <c:pt idx="30">
                  <c:v>27.527510000000003</c:v>
                </c:pt>
                <c:pt idx="31">
                  <c:v>27.529680000000003</c:v>
                </c:pt>
                <c:pt idx="32">
                  <c:v>27.514770000000002</c:v>
                </c:pt>
                <c:pt idx="33">
                  <c:v>27.48404</c:v>
                </c:pt>
                <c:pt idx="34">
                  <c:v>27.438750000000006</c:v>
                </c:pt>
                <c:pt idx="35">
                  <c:v>27.380160000000004</c:v>
                </c:pt>
                <c:pt idx="36">
                  <c:v>27.309529999999999</c:v>
                </c:pt>
                <c:pt idx="37">
                  <c:v>27.228120000000001</c:v>
                </c:pt>
                <c:pt idx="38">
                  <c:v>27.137190000000004</c:v>
                </c:pt>
                <c:pt idx="39">
                  <c:v>27.038</c:v>
                </c:pt>
                <c:pt idx="40">
                  <c:v>26.931810000000002</c:v>
                </c:pt>
                <c:pt idx="41">
                  <c:v>26.819880000000001</c:v>
                </c:pt>
                <c:pt idx="42">
                  <c:v>26.703470000000006</c:v>
                </c:pt>
                <c:pt idx="43">
                  <c:v>26.583840000000006</c:v>
                </c:pt>
                <c:pt idx="44">
                  <c:v>26.462250000000001</c:v>
                </c:pt>
                <c:pt idx="45">
                  <c:v>26.339960000000001</c:v>
                </c:pt>
                <c:pt idx="46">
                  <c:v>26.218230000000002</c:v>
                </c:pt>
                <c:pt idx="47">
                  <c:v>26.098320000000012</c:v>
                </c:pt>
                <c:pt idx="48">
                  <c:v>25.981490000000012</c:v>
                </c:pt>
                <c:pt idx="49">
                  <c:v>25.869000000000003</c:v>
                </c:pt>
                <c:pt idx="50">
                  <c:v>25.762109999999996</c:v>
                </c:pt>
                <c:pt idx="51">
                  <c:v>25.662080000000007</c:v>
                </c:pt>
                <c:pt idx="52">
                  <c:v>25.570170000000001</c:v>
                </c:pt>
                <c:pt idx="53">
                  <c:v>25.48764000000001</c:v>
                </c:pt>
                <c:pt idx="54">
                  <c:v>25.415750000000013</c:v>
                </c:pt>
                <c:pt idx="55">
                  <c:v>25.355760000000007</c:v>
                </c:pt>
                <c:pt idx="56">
                  <c:v>25.30893</c:v>
                </c:pt>
                <c:pt idx="57">
                  <c:v>25.276519999999994</c:v>
                </c:pt>
                <c:pt idx="58">
                  <c:v>25.259789999999999</c:v>
                </c:pt>
                <c:pt idx="59">
                  <c:v>25.260000000000016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181-4855-8BF8-9CFEF65B6A02}"/>
            </c:ext>
          </c:extLst>
        </c:ser>
        <c:ser>
          <c:idx val="3"/>
          <c:order val="3"/>
          <c:tx>
            <c:strRef>
              <c:f>'1_HDV calcs'!$C$62</c:f>
              <c:strCache>
                <c:ptCount val="1"/>
                <c:pt idx="0">
                  <c:v>UK - HDVs - diesel (ECUK) #2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poly"/>
            <c:order val="3"/>
            <c:dispRSqr val="0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0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cat>
            <c:numRef>
              <c:f>'1_HDV calcs'!$E$58:$BL$58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'1_HDV calcs'!$E$62:$BL$62</c:f>
              <c:numCache>
                <c:formatCode>0.00</c:formatCode>
                <c:ptCount val="60"/>
                <c:pt idx="0">
                  <c:v>14.225492690908812</c:v>
                </c:pt>
                <c:pt idx="1">
                  <c:v>14.965856665170213</c:v>
                </c:pt>
                <c:pt idx="2">
                  <c:v>15.706659329727197</c:v>
                </c:pt>
                <c:pt idx="3">
                  <c:v>16.459235163659674</c:v>
                </c:pt>
                <c:pt idx="4">
                  <c:v>17.15826995184559</c:v>
                </c:pt>
                <c:pt idx="5">
                  <c:v>17.975898720534911</c:v>
                </c:pt>
                <c:pt idx="6">
                  <c:v>18.85112972976399</c:v>
                </c:pt>
                <c:pt idx="7">
                  <c:v>19.815405809820017</c:v>
                </c:pt>
                <c:pt idx="8">
                  <c:v>20.782525929493822</c:v>
                </c:pt>
                <c:pt idx="9">
                  <c:v>21.833305244592982</c:v>
                </c:pt>
                <c:pt idx="10">
                  <c:v>22.807327040747314</c:v>
                </c:pt>
                <c:pt idx="11">
                  <c:v>22.921204734642245</c:v>
                </c:pt>
                <c:pt idx="12">
                  <c:v>22.755241151207478</c:v>
                </c:pt>
                <c:pt idx="13">
                  <c:v>23.399568462761774</c:v>
                </c:pt>
                <c:pt idx="14">
                  <c:v>23.542393835253545</c:v>
                </c:pt>
                <c:pt idx="15">
                  <c:v>23.681875487810846</c:v>
                </c:pt>
                <c:pt idx="16">
                  <c:v>23.490288319045707</c:v>
                </c:pt>
                <c:pt idx="17">
                  <c:v>24.384732324220721</c:v>
                </c:pt>
                <c:pt idx="18">
                  <c:v>24.204560955854816</c:v>
                </c:pt>
                <c:pt idx="19">
                  <c:v>24.832579499065726</c:v>
                </c:pt>
                <c:pt idx="20">
                  <c:v>23.764682157345064</c:v>
                </c:pt>
                <c:pt idx="21">
                  <c:v>23.197248821325203</c:v>
                </c:pt>
                <c:pt idx="22">
                  <c:v>24.430359911939714</c:v>
                </c:pt>
                <c:pt idx="23">
                  <c:v>25.738586296408325</c:v>
                </c:pt>
                <c:pt idx="24">
                  <c:v>27.006903131121707</c:v>
                </c:pt>
                <c:pt idx="25">
                  <c:v>28.553067757827883</c:v>
                </c:pt>
                <c:pt idx="26">
                  <c:v>30.981360309408071</c:v>
                </c:pt>
                <c:pt idx="27">
                  <c:v>29.774066185236165</c:v>
                </c:pt>
                <c:pt idx="28">
                  <c:v>30.369472560986129</c:v>
                </c:pt>
                <c:pt idx="29">
                  <c:v>29.047410373536973</c:v>
                </c:pt>
                <c:pt idx="30">
                  <c:v>29.28785052983309</c:v>
                </c:pt>
                <c:pt idx="31">
                  <c:v>28.603548205553732</c:v>
                </c:pt>
                <c:pt idx="32">
                  <c:v>29.233718649310568</c:v>
                </c:pt>
                <c:pt idx="33">
                  <c:v>29.060230863922747</c:v>
                </c:pt>
                <c:pt idx="34">
                  <c:v>29.38199629899065</c:v>
                </c:pt>
                <c:pt idx="35">
                  <c:v>28.3397824480111</c:v>
                </c:pt>
                <c:pt idx="36">
                  <c:v>28.173621913788701</c:v>
                </c:pt>
                <c:pt idx="37">
                  <c:v>27.530519005349365</c:v>
                </c:pt>
                <c:pt idx="38">
                  <c:v>26.356945943947615</c:v>
                </c:pt>
                <c:pt idx="39">
                  <c:v>25.448091219201427</c:v>
                </c:pt>
                <c:pt idx="40">
                  <c:v>24.934345247698019</c:v>
                </c:pt>
                <c:pt idx="41">
                  <c:v>24.913775249843003</c:v>
                </c:pt>
                <c:pt idx="42">
                  <c:v>25.156984906969914</c:v>
                </c:pt>
                <c:pt idx="43">
                  <c:v>25.262549146352999</c:v>
                </c:pt>
                <c:pt idx="44">
                  <c:v>24.944680813686499</c:v>
                </c:pt>
                <c:pt idx="45">
                  <c:v>25.405256212136802</c:v>
                </c:pt>
                <c:pt idx="46">
                  <c:v>25.381883527619895</c:v>
                </c:pt>
                <c:pt idx="47">
                  <c:v>25.293205732068891</c:v>
                </c:pt>
                <c:pt idx="48">
                  <c:v>24.094544342371844</c:v>
                </c:pt>
                <c:pt idx="49">
                  <c:v>24.231578025989005</c:v>
                </c:pt>
                <c:pt idx="50">
                  <c:v>24.651047146381632</c:v>
                </c:pt>
                <c:pt idx="51">
                  <c:v>24.515137641096313</c:v>
                </c:pt>
                <c:pt idx="52">
                  <c:v>25.148557919123249</c:v>
                </c:pt>
                <c:pt idx="53">
                  <c:v>24.877449301815673</c:v>
                </c:pt>
                <c:pt idx="54">
                  <c:v>24.880757211771172</c:v>
                </c:pt>
                <c:pt idx="55">
                  <c:v>25.176395226479777</c:v>
                </c:pt>
                <c:pt idx="56">
                  <c:v>25.710127216016634</c:v>
                </c:pt>
                <c:pt idx="57">
                  <c:v>25.522094026782785</c:v>
                </c:pt>
                <c:pt idx="58">
                  <c:v>25.257076413836305</c:v>
                </c:pt>
                <c:pt idx="59">
                  <c:v>25.333001836240431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181-4855-8BF8-9CFEF65B6A02}"/>
            </c:ext>
          </c:extLst>
        </c:ser>
        <c:ser>
          <c:idx val="4"/>
          <c:order val="4"/>
          <c:tx>
            <c:strRef>
              <c:f>'1_HDV calcs'!$C$63</c:f>
              <c:strCache>
                <c:ptCount val="1"/>
                <c:pt idx="0">
                  <c:v>US - HDVs - diesel (Table 1.8)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5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'1_HDV calcs'!$E$58:$BL$58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'1_HDV calcs'!$E$63:$BL$63</c:f>
              <c:numCache>
                <c:formatCode>0.00</c:formatCode>
                <c:ptCount val="60"/>
                <c:pt idx="0">
                  <c:v>42.002604209175928</c:v>
                </c:pt>
                <c:pt idx="1">
                  <c:v>42.002604209175928</c:v>
                </c:pt>
                <c:pt idx="2">
                  <c:v>42.002604209175928</c:v>
                </c:pt>
                <c:pt idx="3">
                  <c:v>42.002604209175928</c:v>
                </c:pt>
                <c:pt idx="4">
                  <c:v>42.002604209175928</c:v>
                </c:pt>
                <c:pt idx="5">
                  <c:v>42.002604209175928</c:v>
                </c:pt>
                <c:pt idx="6">
                  <c:v>42.002604209175928</c:v>
                </c:pt>
                <c:pt idx="7">
                  <c:v>42.002604209175928</c:v>
                </c:pt>
                <c:pt idx="8">
                  <c:v>42.766287922070035</c:v>
                </c:pt>
                <c:pt idx="9">
                  <c:v>42.766287922070035</c:v>
                </c:pt>
                <c:pt idx="10">
                  <c:v>42.766287922070035</c:v>
                </c:pt>
                <c:pt idx="11">
                  <c:v>42.002604209175928</c:v>
                </c:pt>
                <c:pt idx="12">
                  <c:v>42.002604209175928</c:v>
                </c:pt>
                <c:pt idx="13">
                  <c:v>42.766287922070035</c:v>
                </c:pt>
                <c:pt idx="14">
                  <c:v>42.766287922070035</c:v>
                </c:pt>
                <c:pt idx="15">
                  <c:v>42.002604209175928</c:v>
                </c:pt>
                <c:pt idx="16">
                  <c:v>42.002604209175928</c:v>
                </c:pt>
                <c:pt idx="17">
                  <c:v>42.002604209175928</c:v>
                </c:pt>
                <c:pt idx="18">
                  <c:v>42.766287922070035</c:v>
                </c:pt>
                <c:pt idx="19">
                  <c:v>42.766287922070035</c:v>
                </c:pt>
                <c:pt idx="20">
                  <c:v>43.558256216923184</c:v>
                </c:pt>
                <c:pt idx="21">
                  <c:v>44.380110107808527</c:v>
                </c:pt>
                <c:pt idx="22">
                  <c:v>42.766287922070035</c:v>
                </c:pt>
                <c:pt idx="23">
                  <c:v>42.002604209175928</c:v>
                </c:pt>
                <c:pt idx="24">
                  <c:v>41.26571641603249</c:v>
                </c:pt>
                <c:pt idx="25">
                  <c:v>40.55423854679055</c:v>
                </c:pt>
                <c:pt idx="26">
                  <c:v>40.55423854679055</c:v>
                </c:pt>
                <c:pt idx="27">
                  <c:v>39.866878571421218</c:v>
                </c:pt>
                <c:pt idx="28">
                  <c:v>39.202430595230865</c:v>
                </c:pt>
                <c:pt idx="29">
                  <c:v>38.559767798587735</c:v>
                </c:pt>
                <c:pt idx="30">
                  <c:v>39.202430595230865</c:v>
                </c:pt>
                <c:pt idx="31">
                  <c:v>39.202430595230865</c:v>
                </c:pt>
                <c:pt idx="32">
                  <c:v>39.202430595230865</c:v>
                </c:pt>
                <c:pt idx="33">
                  <c:v>38.559767798587735</c:v>
                </c:pt>
                <c:pt idx="34">
                  <c:v>38.559767798587735</c:v>
                </c:pt>
                <c:pt idx="35">
                  <c:v>38.559767798587735</c:v>
                </c:pt>
                <c:pt idx="36">
                  <c:v>37.937836059900839</c:v>
                </c:pt>
                <c:pt idx="37">
                  <c:v>36.752278683028933</c:v>
                </c:pt>
                <c:pt idx="38">
                  <c:v>38.559767798587735</c:v>
                </c:pt>
                <c:pt idx="39">
                  <c:v>39.202430595230865</c:v>
                </c:pt>
                <c:pt idx="40">
                  <c:v>40.55423854679055</c:v>
                </c:pt>
                <c:pt idx="41">
                  <c:v>39.866878571421218</c:v>
                </c:pt>
                <c:pt idx="42">
                  <c:v>40.55423854679055</c:v>
                </c:pt>
                <c:pt idx="43">
                  <c:v>35.106654264385845</c:v>
                </c:pt>
                <c:pt idx="44">
                  <c:v>35.106654264385845</c:v>
                </c:pt>
                <c:pt idx="45">
                  <c:v>39.202430595230865</c:v>
                </c:pt>
                <c:pt idx="46">
                  <c:v>39.866878571421218</c:v>
                </c:pt>
                <c:pt idx="47">
                  <c:v>36.752278683028933</c:v>
                </c:pt>
                <c:pt idx="48">
                  <c:v>36.186859010982339</c:v>
                </c:pt>
                <c:pt idx="49">
                  <c:v>36.186859010982339</c:v>
                </c:pt>
                <c:pt idx="50">
                  <c:v>36.752278683028933</c:v>
                </c:pt>
                <c:pt idx="51">
                  <c:v>37.335648185934161</c:v>
                </c:pt>
                <c:pt idx="52">
                  <c:v>36.752278683028933</c:v>
                </c:pt>
                <c:pt idx="53">
                  <c:v>36.752278683028933</c:v>
                </c:pt>
                <c:pt idx="54">
                  <c:v>37.335648185934161</c:v>
                </c:pt>
                <c:pt idx="55">
                  <c:v>36.752278683028933</c:v>
                </c:pt>
                <c:pt idx="56">
                  <c:v>36.752278683028933</c:v>
                </c:pt>
                <c:pt idx="57">
                  <c:v>36.186859010982339</c:v>
                </c:pt>
                <c:pt idx="58">
                  <c:v>35.638573268391696</c:v>
                </c:pt>
                <c:pt idx="59">
                  <c:v>35.415832185464247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181-4855-8BF8-9CFEF65B6A02}"/>
            </c:ext>
          </c:extLst>
        </c:ser>
        <c:ser>
          <c:idx val="5"/>
          <c:order val="5"/>
          <c:tx>
            <c:strRef>
              <c:f>'1_HDV calcs'!$C$66</c:f>
              <c:strCache>
                <c:ptCount val="1"/>
                <c:pt idx="0">
                  <c:v>y = 0.00021x3 - 0.0287x2 + 1.1851x + 12.114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val>
            <c:numRef>
              <c:f>'1_HDV calcs'!$E$66:$BM$66</c:f>
              <c:numCache>
                <c:formatCode>0.00</c:formatCode>
                <c:ptCount val="61"/>
                <c:pt idx="0">
                  <c:v>13.270600000000002</c:v>
                </c:pt>
                <c:pt idx="1">
                  <c:v>14.371080000000001</c:v>
                </c:pt>
                <c:pt idx="2">
                  <c:v>15.41667</c:v>
                </c:pt>
                <c:pt idx="3">
                  <c:v>16.408640000000002</c:v>
                </c:pt>
                <c:pt idx="4">
                  <c:v>17.34825</c:v>
                </c:pt>
                <c:pt idx="5">
                  <c:v>18.23676</c:v>
                </c:pt>
                <c:pt idx="6">
                  <c:v>19.075430000000001</c:v>
                </c:pt>
                <c:pt idx="7">
                  <c:v>19.86552</c:v>
                </c:pt>
                <c:pt idx="8">
                  <c:v>20.608290000000004</c:v>
                </c:pt>
                <c:pt idx="9">
                  <c:v>21.305</c:v>
                </c:pt>
                <c:pt idx="10">
                  <c:v>21.956910000000001</c:v>
                </c:pt>
                <c:pt idx="11">
                  <c:v>22.565280000000001</c:v>
                </c:pt>
                <c:pt idx="12">
                  <c:v>23.13137</c:v>
                </c:pt>
                <c:pt idx="13">
                  <c:v>23.656440000000003</c:v>
                </c:pt>
                <c:pt idx="14">
                  <c:v>24.141750000000002</c:v>
                </c:pt>
                <c:pt idx="15">
                  <c:v>24.588560000000001</c:v>
                </c:pt>
                <c:pt idx="16">
                  <c:v>24.99813</c:v>
                </c:pt>
                <c:pt idx="17">
                  <c:v>25.371720000000003</c:v>
                </c:pt>
                <c:pt idx="18">
                  <c:v>25.710590000000003</c:v>
                </c:pt>
                <c:pt idx="19">
                  <c:v>26.016000000000002</c:v>
                </c:pt>
                <c:pt idx="20">
                  <c:v>26.289210000000001</c:v>
                </c:pt>
                <c:pt idx="21">
                  <c:v>26.531480000000002</c:v>
                </c:pt>
                <c:pt idx="22">
                  <c:v>26.744070000000001</c:v>
                </c:pt>
                <c:pt idx="23">
                  <c:v>26.928240000000002</c:v>
                </c:pt>
                <c:pt idx="24">
                  <c:v>27.085250000000002</c:v>
                </c:pt>
                <c:pt idx="25">
                  <c:v>27.216360000000002</c:v>
                </c:pt>
                <c:pt idx="26">
                  <c:v>27.322830000000003</c:v>
                </c:pt>
                <c:pt idx="27">
                  <c:v>27.405920000000002</c:v>
                </c:pt>
                <c:pt idx="28">
                  <c:v>27.466889999999999</c:v>
                </c:pt>
                <c:pt idx="29">
                  <c:v>27.507000000000009</c:v>
                </c:pt>
                <c:pt idx="30">
                  <c:v>27.527510000000003</c:v>
                </c:pt>
                <c:pt idx="31">
                  <c:v>27.529680000000003</c:v>
                </c:pt>
                <c:pt idx="32">
                  <c:v>27.514770000000002</c:v>
                </c:pt>
                <c:pt idx="33">
                  <c:v>27.48404</c:v>
                </c:pt>
                <c:pt idx="34">
                  <c:v>27.438750000000006</c:v>
                </c:pt>
                <c:pt idx="35">
                  <c:v>27.380160000000004</c:v>
                </c:pt>
                <c:pt idx="36">
                  <c:v>27.309529999999999</c:v>
                </c:pt>
                <c:pt idx="37">
                  <c:v>27.228120000000001</c:v>
                </c:pt>
                <c:pt idx="38">
                  <c:v>27.137190000000004</c:v>
                </c:pt>
                <c:pt idx="39">
                  <c:v>27.038</c:v>
                </c:pt>
                <c:pt idx="40">
                  <c:v>26.931810000000002</c:v>
                </c:pt>
                <c:pt idx="41">
                  <c:v>26.819880000000001</c:v>
                </c:pt>
                <c:pt idx="42">
                  <c:v>26.703470000000006</c:v>
                </c:pt>
                <c:pt idx="43">
                  <c:v>26.583840000000006</c:v>
                </c:pt>
                <c:pt idx="44">
                  <c:v>26.462250000000001</c:v>
                </c:pt>
                <c:pt idx="45">
                  <c:v>26.339960000000001</c:v>
                </c:pt>
                <c:pt idx="46">
                  <c:v>26.218230000000002</c:v>
                </c:pt>
                <c:pt idx="47">
                  <c:v>26.098320000000012</c:v>
                </c:pt>
                <c:pt idx="48">
                  <c:v>25.981490000000012</c:v>
                </c:pt>
                <c:pt idx="49">
                  <c:v>25.869000000000003</c:v>
                </c:pt>
                <c:pt idx="50">
                  <c:v>25.762109999999996</c:v>
                </c:pt>
                <c:pt idx="51">
                  <c:v>25.662080000000007</c:v>
                </c:pt>
                <c:pt idx="52">
                  <c:v>25.570170000000001</c:v>
                </c:pt>
                <c:pt idx="53">
                  <c:v>25.48764000000001</c:v>
                </c:pt>
                <c:pt idx="54">
                  <c:v>25.415750000000013</c:v>
                </c:pt>
                <c:pt idx="55">
                  <c:v>25.355760000000007</c:v>
                </c:pt>
                <c:pt idx="56">
                  <c:v>25.30893</c:v>
                </c:pt>
                <c:pt idx="57">
                  <c:v>25.276519999999994</c:v>
                </c:pt>
                <c:pt idx="58">
                  <c:v>25.259789999999999</c:v>
                </c:pt>
                <c:pt idx="59">
                  <c:v>25.260000000000016</c:v>
                </c:pt>
                <c:pt idx="60">
                  <c:v>25.278410000000004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C67-4E8C-AE80-06A2EA0CAF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1220104"/>
        <c:axId val="561215184"/>
      </c:lineChart>
      <c:catAx>
        <c:axId val="5612201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1215184"/>
        <c:crosses val="autoZero"/>
        <c:auto val="1"/>
        <c:lblAlgn val="ctr"/>
        <c:lblOffset val="100"/>
        <c:noMultiLvlLbl val="0"/>
      </c:catAx>
      <c:valAx>
        <c:axId val="561215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12201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Karavalakis2016!$M$14</c:f>
              <c:strCache>
                <c:ptCount val="1"/>
                <c:pt idx="0">
                  <c:v>Fuel economy [mpg]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Karavalakis2016!$L$15:$L$19</c:f>
              <c:strCache>
                <c:ptCount val="5"/>
                <c:pt idx="0">
                  <c:v>CARb ULSD</c:v>
                </c:pt>
                <c:pt idx="1">
                  <c:v>HVO20</c:v>
                </c:pt>
                <c:pt idx="2">
                  <c:v>HVO50</c:v>
                </c:pt>
                <c:pt idx="3">
                  <c:v>HVO100</c:v>
                </c:pt>
                <c:pt idx="4">
                  <c:v>WCO20</c:v>
                </c:pt>
              </c:strCache>
            </c:strRef>
          </c:cat>
          <c:val>
            <c:numRef>
              <c:f>Karavalakis2016!$M$15:$M$19</c:f>
              <c:numCache>
                <c:formatCode>General</c:formatCode>
                <c:ptCount val="5"/>
                <c:pt idx="0">
                  <c:v>5.3</c:v>
                </c:pt>
                <c:pt idx="1">
                  <c:v>5.3</c:v>
                </c:pt>
                <c:pt idx="2">
                  <c:v>5.3</c:v>
                </c:pt>
                <c:pt idx="3">
                  <c:v>5.3</c:v>
                </c:pt>
                <c:pt idx="4">
                  <c:v>5.3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9CB-7841-98BC-F0B8D593A2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31191087"/>
        <c:axId val="1431190399"/>
      </c:barChart>
      <c:catAx>
        <c:axId val="14311910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1190399"/>
        <c:crosses val="autoZero"/>
        <c:auto val="1"/>
        <c:lblAlgn val="ctr"/>
        <c:lblOffset val="100"/>
        <c:noMultiLvlLbl val="0"/>
      </c:catAx>
      <c:valAx>
        <c:axId val="14311903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11910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Keramydas2019!$H$40</c:f>
              <c:strCache>
                <c:ptCount val="1"/>
                <c:pt idx="0">
                  <c:v>Fuel consumption [kg/100km]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Keramydas2019!$C$41:$C$47</c:f>
              <c:strCache>
                <c:ptCount val="7"/>
                <c:pt idx="0">
                  <c:v>Red</c:v>
                </c:pt>
                <c:pt idx="1">
                  <c:v>orange</c:v>
                </c:pt>
                <c:pt idx="2">
                  <c:v>yellow</c:v>
                </c:pt>
                <c:pt idx="3">
                  <c:v>light blue</c:v>
                </c:pt>
                <c:pt idx="4">
                  <c:v>blue</c:v>
                </c:pt>
                <c:pt idx="5">
                  <c:v>dark blue</c:v>
                </c:pt>
                <c:pt idx="6">
                  <c:v>green </c:v>
                </c:pt>
              </c:strCache>
            </c:strRef>
          </c:cat>
          <c:val>
            <c:numRef>
              <c:f>Keramydas2019!$H$41:$H$47</c:f>
              <c:numCache>
                <c:formatCode>General</c:formatCode>
                <c:ptCount val="7"/>
                <c:pt idx="0">
                  <c:v>26.5</c:v>
                </c:pt>
                <c:pt idx="1">
                  <c:v>28</c:v>
                </c:pt>
                <c:pt idx="2">
                  <c:v>41</c:v>
                </c:pt>
                <c:pt idx="3">
                  <c:v>28</c:v>
                </c:pt>
                <c:pt idx="4">
                  <c:v>29</c:v>
                </c:pt>
                <c:pt idx="5">
                  <c:v>27.5</c:v>
                </c:pt>
                <c:pt idx="6">
                  <c:v>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A22-C24F-9B5C-29973B860C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39534383"/>
        <c:axId val="1432577647"/>
      </c:barChart>
      <c:catAx>
        <c:axId val="1439534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2577647"/>
        <c:crosses val="autoZero"/>
        <c:auto val="1"/>
        <c:lblAlgn val="ctr"/>
        <c:lblOffset val="100"/>
        <c:noMultiLvlLbl val="0"/>
      </c:catAx>
      <c:valAx>
        <c:axId val="14325776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95343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'Mao2021'!$C$94</c:f>
              <c:strCache>
                <c:ptCount val="1"/>
                <c:pt idx="0">
                  <c:v>Fuel consumption [l/100km]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'Mao2021'!$B$95:$B$104</c:f>
              <c:numCache>
                <c:formatCode>General</c:formatCode>
                <c:ptCount val="10"/>
                <c:pt idx="0">
                  <c:v>5</c:v>
                </c:pt>
                <c:pt idx="1">
                  <c:v>10</c:v>
                </c:pt>
                <c:pt idx="2">
                  <c:v>15</c:v>
                </c:pt>
                <c:pt idx="3">
                  <c:v>20</c:v>
                </c:pt>
                <c:pt idx="4">
                  <c:v>25</c:v>
                </c:pt>
                <c:pt idx="5">
                  <c:v>30</c:v>
                </c:pt>
                <c:pt idx="6">
                  <c:v>35</c:v>
                </c:pt>
                <c:pt idx="7">
                  <c:v>40</c:v>
                </c:pt>
                <c:pt idx="8">
                  <c:v>45</c:v>
                </c:pt>
                <c:pt idx="9">
                  <c:v>50</c:v>
                </c:pt>
              </c:numCache>
            </c:numRef>
          </c:xVal>
          <c:yVal>
            <c:numRef>
              <c:f>'Mao2021'!$C$95:$C$104</c:f>
              <c:numCache>
                <c:formatCode>General</c:formatCode>
                <c:ptCount val="10"/>
                <c:pt idx="0">
                  <c:v>12</c:v>
                </c:pt>
                <c:pt idx="1">
                  <c:v>17</c:v>
                </c:pt>
                <c:pt idx="2">
                  <c:v>24</c:v>
                </c:pt>
                <c:pt idx="3">
                  <c:v>27</c:v>
                </c:pt>
                <c:pt idx="4">
                  <c:v>32</c:v>
                </c:pt>
                <c:pt idx="5">
                  <c:v>35</c:v>
                </c:pt>
                <c:pt idx="6">
                  <c:v>37</c:v>
                </c:pt>
                <c:pt idx="7">
                  <c:v>37</c:v>
                </c:pt>
                <c:pt idx="8">
                  <c:v>37</c:v>
                </c:pt>
                <c:pt idx="9">
                  <c:v>37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608-D84E-82AC-1123333FEC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20745471"/>
        <c:axId val="1373652127"/>
      </c:scatterChart>
      <c:valAx>
        <c:axId val="142074547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Weight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3652127"/>
        <c:crosses val="autoZero"/>
        <c:crossBetween val="midCat"/>
      </c:valAx>
      <c:valAx>
        <c:axId val="13736521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07454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Zamboni2015!$N$58</c:f>
              <c:strCache>
                <c:ptCount val="1"/>
                <c:pt idx="0">
                  <c:v>Fuel consumption [kg/km]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Zamboni2015!$M$59:$M$63</c:f>
              <c:numCache>
                <c:formatCode>General</c:formatCode>
                <c:ptCount val="5"/>
                <c:pt idx="0">
                  <c:v>4</c:v>
                </c:pt>
                <c:pt idx="1">
                  <c:v>5</c:v>
                </c:pt>
                <c:pt idx="2">
                  <c:v>11</c:v>
                </c:pt>
                <c:pt idx="3">
                  <c:v>30</c:v>
                </c:pt>
                <c:pt idx="4">
                  <c:v>32</c:v>
                </c:pt>
              </c:numCache>
            </c:numRef>
          </c:xVal>
          <c:yVal>
            <c:numRef>
              <c:f>Zamboni2015!$N$59:$N$63</c:f>
              <c:numCache>
                <c:formatCode>General</c:formatCode>
                <c:ptCount val="5"/>
                <c:pt idx="0">
                  <c:v>1.2</c:v>
                </c:pt>
                <c:pt idx="1">
                  <c:v>0.9</c:v>
                </c:pt>
                <c:pt idx="2">
                  <c:v>0.6</c:v>
                </c:pt>
                <c:pt idx="3">
                  <c:v>0.4</c:v>
                </c:pt>
                <c:pt idx="4">
                  <c:v>0.3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191-034B-8410-E24FB8D96D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96063775"/>
        <c:axId val="1432742991"/>
      </c:scatterChart>
      <c:valAx>
        <c:axId val="14960637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Speed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2742991"/>
        <c:crosses val="autoZero"/>
        <c:crossBetween val="midCat"/>
      </c:valAx>
      <c:valAx>
        <c:axId val="1432742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606377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Fuel</a:t>
            </a:r>
            <a:r>
              <a:rPr lang="en-US" baseline="0"/>
              <a:t> consumption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Zamboni2015!$L$16</c:f>
              <c:strCache>
                <c:ptCount val="1"/>
                <c:pt idx="0">
                  <c:v>GT1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Zamboni2015!$M$15:$O$15</c:f>
              <c:strCache>
                <c:ptCount val="3"/>
                <c:pt idx="0">
                  <c:v>EURO3</c:v>
                </c:pt>
                <c:pt idx="1">
                  <c:v>EURO5 EGR</c:v>
                </c:pt>
                <c:pt idx="2">
                  <c:v>EURO5 SCR</c:v>
                </c:pt>
              </c:strCache>
            </c:strRef>
          </c:cat>
          <c:val>
            <c:numRef>
              <c:f>Zamboni2015!$M$16:$O$16</c:f>
              <c:numCache>
                <c:formatCode>General</c:formatCode>
                <c:ptCount val="3"/>
                <c:pt idx="0">
                  <c:v>0.8</c:v>
                </c:pt>
                <c:pt idx="1">
                  <c:v>0.6</c:v>
                </c:pt>
                <c:pt idx="2">
                  <c:v>0.5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FB7-D749-AD28-FEFBE673873A}"/>
            </c:ext>
          </c:extLst>
        </c:ser>
        <c:ser>
          <c:idx val="1"/>
          <c:order val="1"/>
          <c:tx>
            <c:strRef>
              <c:f>Zamboni2015!$L$17</c:f>
              <c:strCache>
                <c:ptCount val="1"/>
                <c:pt idx="0">
                  <c:v>GT3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Zamboni2015!$M$15:$O$15</c:f>
              <c:strCache>
                <c:ptCount val="3"/>
                <c:pt idx="0">
                  <c:v>EURO3</c:v>
                </c:pt>
                <c:pt idx="1">
                  <c:v>EURO5 EGR</c:v>
                </c:pt>
                <c:pt idx="2">
                  <c:v>EURO5 SCR</c:v>
                </c:pt>
              </c:strCache>
            </c:strRef>
          </c:cat>
          <c:val>
            <c:numRef>
              <c:f>Zamboni2015!$M$17:$O$17</c:f>
              <c:numCache>
                <c:formatCode>General</c:formatCode>
                <c:ptCount val="3"/>
                <c:pt idx="0">
                  <c:v>1</c:v>
                </c:pt>
                <c:pt idx="1">
                  <c:v>0.7</c:v>
                </c:pt>
                <c:pt idx="2">
                  <c:v>0.75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FB7-D749-AD28-FEFBE67387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16749903"/>
        <c:axId val="1420432447"/>
      </c:barChart>
      <c:catAx>
        <c:axId val="1316749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0432447"/>
        <c:crosses val="autoZero"/>
        <c:auto val="1"/>
        <c:lblAlgn val="ctr"/>
        <c:lblOffset val="100"/>
        <c:noMultiLvlLbl val="0"/>
      </c:catAx>
      <c:valAx>
        <c:axId val="14204324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6749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'1_HDV calcs'!$D$27</c:f>
              <c:strCache>
                <c:ptCount val="1"/>
                <c:pt idx="0">
                  <c:v>diesel HDV exergy efficiency, y = 45(1-e^-0.025x)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'1_HDV calcs'!$F$26:$BC$26</c:f>
              <c:numCache>
                <c:formatCode>General</c:formatCode>
                <c:ptCount val="50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  <c:pt idx="6">
                  <c:v>12</c:v>
                </c:pt>
                <c:pt idx="7">
                  <c:v>14</c:v>
                </c:pt>
                <c:pt idx="8">
                  <c:v>16</c:v>
                </c:pt>
                <c:pt idx="9">
                  <c:v>18</c:v>
                </c:pt>
                <c:pt idx="10">
                  <c:v>20</c:v>
                </c:pt>
                <c:pt idx="11">
                  <c:v>22</c:v>
                </c:pt>
                <c:pt idx="12">
                  <c:v>24</c:v>
                </c:pt>
                <c:pt idx="13">
                  <c:v>26</c:v>
                </c:pt>
                <c:pt idx="14">
                  <c:v>28</c:v>
                </c:pt>
                <c:pt idx="15">
                  <c:v>30</c:v>
                </c:pt>
                <c:pt idx="16">
                  <c:v>32</c:v>
                </c:pt>
                <c:pt idx="17">
                  <c:v>34</c:v>
                </c:pt>
                <c:pt idx="18">
                  <c:v>36</c:v>
                </c:pt>
                <c:pt idx="19">
                  <c:v>38</c:v>
                </c:pt>
                <c:pt idx="20">
                  <c:v>40</c:v>
                </c:pt>
                <c:pt idx="21">
                  <c:v>42</c:v>
                </c:pt>
                <c:pt idx="22">
                  <c:v>44</c:v>
                </c:pt>
                <c:pt idx="23">
                  <c:v>46</c:v>
                </c:pt>
                <c:pt idx="24">
                  <c:v>48</c:v>
                </c:pt>
                <c:pt idx="25">
                  <c:v>50</c:v>
                </c:pt>
                <c:pt idx="26">
                  <c:v>52</c:v>
                </c:pt>
                <c:pt idx="27">
                  <c:v>54</c:v>
                </c:pt>
                <c:pt idx="28">
                  <c:v>56</c:v>
                </c:pt>
                <c:pt idx="29">
                  <c:v>58</c:v>
                </c:pt>
                <c:pt idx="30">
                  <c:v>60</c:v>
                </c:pt>
                <c:pt idx="31">
                  <c:v>62</c:v>
                </c:pt>
                <c:pt idx="32">
                  <c:v>64</c:v>
                </c:pt>
                <c:pt idx="33">
                  <c:v>66</c:v>
                </c:pt>
                <c:pt idx="34">
                  <c:v>68</c:v>
                </c:pt>
                <c:pt idx="35">
                  <c:v>70</c:v>
                </c:pt>
                <c:pt idx="36">
                  <c:v>72</c:v>
                </c:pt>
                <c:pt idx="37">
                  <c:v>74</c:v>
                </c:pt>
                <c:pt idx="38">
                  <c:v>76</c:v>
                </c:pt>
                <c:pt idx="39">
                  <c:v>78</c:v>
                </c:pt>
                <c:pt idx="40">
                  <c:v>80</c:v>
                </c:pt>
                <c:pt idx="41">
                  <c:v>82</c:v>
                </c:pt>
                <c:pt idx="42">
                  <c:v>84</c:v>
                </c:pt>
                <c:pt idx="43">
                  <c:v>86</c:v>
                </c:pt>
                <c:pt idx="44">
                  <c:v>88</c:v>
                </c:pt>
                <c:pt idx="45">
                  <c:v>90</c:v>
                </c:pt>
                <c:pt idx="46">
                  <c:v>92</c:v>
                </c:pt>
                <c:pt idx="47">
                  <c:v>94</c:v>
                </c:pt>
                <c:pt idx="48">
                  <c:v>96</c:v>
                </c:pt>
                <c:pt idx="49">
                  <c:v>98</c:v>
                </c:pt>
              </c:numCache>
            </c:numRef>
          </c:cat>
          <c:val>
            <c:numRef>
              <c:f>'1_HDV calcs'!$F$27:$BC$27</c:f>
              <c:numCache>
                <c:formatCode>0.0%</c:formatCode>
                <c:ptCount val="50"/>
                <c:pt idx="0" formatCode="General">
                  <c:v>0</c:v>
                </c:pt>
                <c:pt idx="1">
                  <c:v>2.1946758974678692E-2</c:v>
                </c:pt>
                <c:pt idx="2">
                  <c:v>4.2823161883818218E-2</c:v>
                </c:pt>
                <c:pt idx="3">
                  <c:v>6.2681410608723981E-2</c:v>
                </c:pt>
                <c:pt idx="4">
                  <c:v>8.1571161114908183E-2</c:v>
                </c:pt>
                <c:pt idx="5">
                  <c:v>9.9539647617867807E-2</c:v>
                </c:pt>
                <c:pt idx="6">
                  <c:v>0.11663180069322696</c:v>
                </c:pt>
                <c:pt idx="7">
                  <c:v>0.13289035962657894</c:v>
                </c:pt>
                <c:pt idx="8">
                  <c:v>0.1483559792839623</c:v>
                </c:pt>
                <c:pt idx="9">
                  <c:v>0.163067331770202</c:v>
                </c:pt>
                <c:pt idx="10">
                  <c:v>0.17706120312931495</c:v>
                </c:pt>
                <c:pt idx="11">
                  <c:v>0.19037258532878101</c:v>
                </c:pt>
                <c:pt idx="12">
                  <c:v>0.20303476375768814</c:v>
                </c:pt>
                <c:pt idx="13">
                  <c:v>0.21507940045754279</c:v>
                </c:pt>
                <c:pt idx="14">
                  <c:v>0.22653661329386576</c:v>
                </c:pt>
                <c:pt idx="15">
                  <c:v>0.23743505126654338</c:v>
                </c:pt>
                <c:pt idx="16">
                  <c:v>0.24780196614725028</c:v>
                </c:pt>
                <c:pt idx="17">
                  <c:v>0.25766328062307303</c:v>
                </c:pt>
                <c:pt idx="18">
                  <c:v>0.2670436531167304</c:v>
                </c:pt>
                <c:pt idx="19">
                  <c:v>0.27596653944547445</c:v>
                </c:pt>
                <c:pt idx="20">
                  <c:v>0.28445425147285097</c:v>
                </c:pt>
                <c:pt idx="21">
                  <c:v>0.29252801289998009</c:v>
                </c:pt>
                <c:pt idx="22">
                  <c:v>0.30020801233586419</c:v>
                </c:pt>
                <c:pt idx="23">
                  <c:v>0.30751345377942607</c:v>
                </c:pt>
                <c:pt idx="24">
                  <c:v>0.31446260463950909</c:v>
                </c:pt>
                <c:pt idx="25">
                  <c:v>0.32107284141291442</c:v>
                </c:pt>
                <c:pt idx="26">
                  <c:v>0.32736069313469435</c:v>
                </c:pt>
                <c:pt idx="27">
                  <c:v>0.33334188270934889</c:v>
                </c:pt>
                <c:pt idx="28">
                  <c:v>0.33903136622627705</c:v>
                </c:pt>
                <c:pt idx="29">
                  <c:v>0.34444337035779105</c:v>
                </c:pt>
                <c:pt idx="30">
                  <c:v>0.34959142793320658</c:v>
                </c:pt>
                <c:pt idx="31">
                  <c:v>0.35448841177796558</c:v>
                </c:pt>
                <c:pt idx="32">
                  <c:v>0.35914656690240504</c:v>
                </c:pt>
                <c:pt idx="33">
                  <c:v>0.36357754112066071</c:v>
                </c:pt>
                <c:pt idx="34">
                  <c:v>0.3677924141762694</c:v>
                </c:pt>
                <c:pt idx="35">
                  <c:v>0.37180172544729972</c:v>
                </c:pt>
                <c:pt idx="36">
                  <c:v>0.37561550030028606</c:v>
                </c:pt>
                <c:pt idx="37">
                  <c:v>0.37924327515886758</c:v>
                </c:pt>
                <c:pt idx="38">
                  <c:v>0.38269412134981423</c:v>
                </c:pt>
                <c:pt idx="39">
                  <c:v>0.38597666778606893</c:v>
                </c:pt>
                <c:pt idx="40">
                  <c:v>0.3890991225435243</c:v>
                </c:pt>
                <c:pt idx="41">
                  <c:v>0.39206929338548813</c:v>
                </c:pt>
                <c:pt idx="42">
                  <c:v>0.39489460728615816</c:v>
                </c:pt>
                <c:pt idx="43">
                  <c:v>0.39758212900192641</c:v>
                </c:pt>
                <c:pt idx="44">
                  <c:v>0.40013857873694975</c:v>
                </c:pt>
                <c:pt idx="45">
                  <c:v>0.40257034894716104</c:v>
                </c:pt>
                <c:pt idx="46">
                  <c:v>0.40488352032473834</c:v>
                </c:pt>
                <c:pt idx="47">
                  <c:v>0.40708387700300269</c:v>
                </c:pt>
                <c:pt idx="48">
                  <c:v>0.40917692101976444</c:v>
                </c:pt>
                <c:pt idx="49">
                  <c:v>0.41116788607528326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5D-40F8-8ECC-630B987B50C1}"/>
            </c:ext>
          </c:extLst>
        </c:ser>
        <c:ser>
          <c:idx val="1"/>
          <c:order val="1"/>
          <c:tx>
            <c:strRef>
              <c:f>'1_HDV calcs'!$D$28</c:f>
              <c:strCache>
                <c:ptCount val="1"/>
                <c:pt idx="0">
                  <c:v>diesel HDV exergy efficiency, y = 45(1-e^-0.05x)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'1_HDV calcs'!$F$26:$BC$26</c:f>
              <c:numCache>
                <c:formatCode>General</c:formatCode>
                <c:ptCount val="50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  <c:pt idx="6">
                  <c:v>12</c:v>
                </c:pt>
                <c:pt idx="7">
                  <c:v>14</c:v>
                </c:pt>
                <c:pt idx="8">
                  <c:v>16</c:v>
                </c:pt>
                <c:pt idx="9">
                  <c:v>18</c:v>
                </c:pt>
                <c:pt idx="10">
                  <c:v>20</c:v>
                </c:pt>
                <c:pt idx="11">
                  <c:v>22</c:v>
                </c:pt>
                <c:pt idx="12">
                  <c:v>24</c:v>
                </c:pt>
                <c:pt idx="13">
                  <c:v>26</c:v>
                </c:pt>
                <c:pt idx="14">
                  <c:v>28</c:v>
                </c:pt>
                <c:pt idx="15">
                  <c:v>30</c:v>
                </c:pt>
                <c:pt idx="16">
                  <c:v>32</c:v>
                </c:pt>
                <c:pt idx="17">
                  <c:v>34</c:v>
                </c:pt>
                <c:pt idx="18">
                  <c:v>36</c:v>
                </c:pt>
                <c:pt idx="19">
                  <c:v>38</c:v>
                </c:pt>
                <c:pt idx="20">
                  <c:v>40</c:v>
                </c:pt>
                <c:pt idx="21">
                  <c:v>42</c:v>
                </c:pt>
                <c:pt idx="22">
                  <c:v>44</c:v>
                </c:pt>
                <c:pt idx="23">
                  <c:v>46</c:v>
                </c:pt>
                <c:pt idx="24">
                  <c:v>48</c:v>
                </c:pt>
                <c:pt idx="25">
                  <c:v>50</c:v>
                </c:pt>
                <c:pt idx="26">
                  <c:v>52</c:v>
                </c:pt>
                <c:pt idx="27">
                  <c:v>54</c:v>
                </c:pt>
                <c:pt idx="28">
                  <c:v>56</c:v>
                </c:pt>
                <c:pt idx="29">
                  <c:v>58</c:v>
                </c:pt>
                <c:pt idx="30">
                  <c:v>60</c:v>
                </c:pt>
                <c:pt idx="31">
                  <c:v>62</c:v>
                </c:pt>
                <c:pt idx="32">
                  <c:v>64</c:v>
                </c:pt>
                <c:pt idx="33">
                  <c:v>66</c:v>
                </c:pt>
                <c:pt idx="34">
                  <c:v>68</c:v>
                </c:pt>
                <c:pt idx="35">
                  <c:v>70</c:v>
                </c:pt>
                <c:pt idx="36">
                  <c:v>72</c:v>
                </c:pt>
                <c:pt idx="37">
                  <c:v>74</c:v>
                </c:pt>
                <c:pt idx="38">
                  <c:v>76</c:v>
                </c:pt>
                <c:pt idx="39">
                  <c:v>78</c:v>
                </c:pt>
                <c:pt idx="40">
                  <c:v>80</c:v>
                </c:pt>
                <c:pt idx="41">
                  <c:v>82</c:v>
                </c:pt>
                <c:pt idx="42">
                  <c:v>84</c:v>
                </c:pt>
                <c:pt idx="43">
                  <c:v>86</c:v>
                </c:pt>
                <c:pt idx="44">
                  <c:v>88</c:v>
                </c:pt>
                <c:pt idx="45">
                  <c:v>90</c:v>
                </c:pt>
                <c:pt idx="46">
                  <c:v>92</c:v>
                </c:pt>
                <c:pt idx="47">
                  <c:v>94</c:v>
                </c:pt>
                <c:pt idx="48">
                  <c:v>96</c:v>
                </c:pt>
                <c:pt idx="49">
                  <c:v>98</c:v>
                </c:pt>
              </c:numCache>
            </c:numRef>
          </c:cat>
          <c:val>
            <c:numRef>
              <c:f>'1_HDV calcs'!$F$28:$BC$28</c:f>
              <c:numCache>
                <c:formatCode>0.0%</c:formatCode>
                <c:ptCount val="50"/>
                <c:pt idx="0" formatCode="General">
                  <c:v>0</c:v>
                </c:pt>
                <c:pt idx="1">
                  <c:v>4.2823161883818218E-2</c:v>
                </c:pt>
                <c:pt idx="2">
                  <c:v>8.1571161114908183E-2</c:v>
                </c:pt>
                <c:pt idx="3">
                  <c:v>0.11663180069322696</c:v>
                </c:pt>
                <c:pt idx="4">
                  <c:v>0.1483559792839623</c:v>
                </c:pt>
                <c:pt idx="5">
                  <c:v>0.17706120312931495</c:v>
                </c:pt>
                <c:pt idx="6">
                  <c:v>0.20303476375768814</c:v>
                </c:pt>
                <c:pt idx="7">
                  <c:v>0.22653661329386576</c:v>
                </c:pt>
                <c:pt idx="8">
                  <c:v>0.24780196614725028</c:v>
                </c:pt>
                <c:pt idx="9">
                  <c:v>0.2670436531167304</c:v>
                </c:pt>
                <c:pt idx="10">
                  <c:v>0.28445425147285097</c:v>
                </c:pt>
                <c:pt idx="11">
                  <c:v>0.30020801233586419</c:v>
                </c:pt>
                <c:pt idx="12">
                  <c:v>0.31446260463950909</c:v>
                </c:pt>
                <c:pt idx="13">
                  <c:v>0.32736069313469435</c:v>
                </c:pt>
                <c:pt idx="14">
                  <c:v>0.33903136622627705</c:v>
                </c:pt>
                <c:pt idx="15">
                  <c:v>0.34959142793320658</c:v>
                </c:pt>
                <c:pt idx="16">
                  <c:v>0.35914656690240504</c:v>
                </c:pt>
                <c:pt idx="17">
                  <c:v>0.3677924141762694</c:v>
                </c:pt>
                <c:pt idx="18">
                  <c:v>0.37561550030028606</c:v>
                </c:pt>
                <c:pt idx="19">
                  <c:v>0.38269412134981423</c:v>
                </c:pt>
                <c:pt idx="20">
                  <c:v>0.3890991225435243</c:v>
                </c:pt>
                <c:pt idx="21">
                  <c:v>0.39489460728615816</c:v>
                </c:pt>
                <c:pt idx="22">
                  <c:v>0.40013857873694975</c:v>
                </c:pt>
                <c:pt idx="23">
                  <c:v>0.40488352032473834</c:v>
                </c:pt>
                <c:pt idx="24">
                  <c:v>0.40917692101976444</c:v>
                </c:pt>
                <c:pt idx="25">
                  <c:v>0.41306175061924549</c:v>
                </c:pt>
                <c:pt idx="26">
                  <c:v>0.41657688980354979</c:v>
                </c:pt>
                <c:pt idx="27">
                  <c:v>0.41975751926711263</c:v>
                </c:pt>
                <c:pt idx="28">
                  <c:v>0.42263547181865191</c:v>
                </c:pt>
                <c:pt idx="29">
                  <c:v>0.42523955097461674</c:v>
                </c:pt>
                <c:pt idx="30">
                  <c:v>0.42759581923446122</c:v>
                </c:pt>
                <c:pt idx="31">
                  <c:v>0.429727858922899</c:v>
                </c:pt>
                <c:pt idx="32">
                  <c:v>0.43165700820973518</c:v>
                </c:pt>
                <c:pt idx="33">
                  <c:v>0.43340257466944204</c:v>
                </c:pt>
                <c:pt idx="34">
                  <c:v>0.43498202851785328</c:v>
                </c:pt>
                <c:pt idx="35">
                  <c:v>0.43641117745995672</c:v>
                </c:pt>
                <c:pt idx="36">
                  <c:v>0.43770432489871836</c:v>
                </c:pt>
                <c:pt idx="37">
                  <c:v>0.43887441308834729</c:v>
                </c:pt>
                <c:pt idx="38">
                  <c:v>0.43993315266472549</c:v>
                </c:pt>
                <c:pt idx="39">
                  <c:v>0.44089113984938805</c:v>
                </c:pt>
                <c:pt idx="40">
                  <c:v>0.4417579625000696</c:v>
                </c:pt>
                <c:pt idx="41">
                  <c:v>0.44254229606920747</c:v>
                </c:pt>
                <c:pt idx="42">
                  <c:v>0.44325199043078506</c:v>
                </c:pt>
                <c:pt idx="43">
                  <c:v>0.44389414844450958</c:v>
                </c:pt>
                <c:pt idx="44">
                  <c:v>0.44447519704361921</c:v>
                </c:pt>
                <c:pt idx="45">
                  <c:v>0.44500095155779101</c:v>
                </c:pt>
                <c:pt idx="46">
                  <c:v>0.44547667391491497</c:v>
                </c:pt>
                <c:pt idx="47">
                  <c:v>0.44590712530423687</c:v>
                </c:pt>
                <c:pt idx="48">
                  <c:v>0.44629661382794095</c:v>
                </c:pt>
                <c:pt idx="49">
                  <c:v>0.44664903761808405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5D-40F8-8ECC-630B987B50C1}"/>
            </c:ext>
          </c:extLst>
        </c:ser>
        <c:ser>
          <c:idx val="6"/>
          <c:order val="2"/>
          <c:tx>
            <c:strRef>
              <c:f>'1_HDV calcs'!$C$29:$D$29</c:f>
              <c:strCache>
                <c:ptCount val="2"/>
                <c:pt idx="1">
                  <c:v>diesel HDV exergy efficiency, y = 45(1-e^-0.075x)</c:v>
                </c:pt>
              </c:strCache>
            </c:strRef>
          </c:tx>
          <c:spPr>
            <a:ln w="28575" cap="rnd">
              <a:solidFill>
                <a:schemeClr val="bg2">
                  <a:lumMod val="25000"/>
                </a:schemeClr>
              </a:solidFill>
              <a:prstDash val="solid"/>
              <a:round/>
            </a:ln>
            <a:effectLst/>
          </c:spPr>
          <c:marker>
            <c:symbol val="none"/>
          </c:marker>
          <c:val>
            <c:numRef>
              <c:f>'1_HDV calcs'!$F$29:$BC$29</c:f>
              <c:numCache>
                <c:formatCode>0.0%</c:formatCode>
                <c:ptCount val="50"/>
                <c:pt idx="0" formatCode="General">
                  <c:v>0</c:v>
                </c:pt>
                <c:pt idx="1">
                  <c:v>6.2681410608723981E-2</c:v>
                </c:pt>
                <c:pt idx="2">
                  <c:v>0.11663180069322696</c:v>
                </c:pt>
                <c:pt idx="3">
                  <c:v>0.163067331770202</c:v>
                </c:pt>
                <c:pt idx="4">
                  <c:v>0.20303476375768814</c:v>
                </c:pt>
                <c:pt idx="5">
                  <c:v>0.23743505126654338</c:v>
                </c:pt>
                <c:pt idx="6">
                  <c:v>0.2670436531167304</c:v>
                </c:pt>
                <c:pt idx="7">
                  <c:v>0.29252801289998009</c:v>
                </c:pt>
                <c:pt idx="8">
                  <c:v>0.31446260463950898</c:v>
                </c:pt>
                <c:pt idx="9">
                  <c:v>0.33334188270934884</c:v>
                </c:pt>
                <c:pt idx="10">
                  <c:v>0.34959142793320658</c:v>
                </c:pt>
                <c:pt idx="11">
                  <c:v>0.36357754112066071</c:v>
                </c:pt>
                <c:pt idx="12">
                  <c:v>0.37561550030028606</c:v>
                </c:pt>
                <c:pt idx="13">
                  <c:v>0.38597666778606887</c:v>
                </c:pt>
                <c:pt idx="14">
                  <c:v>0.39489460728615816</c:v>
                </c:pt>
                <c:pt idx="15">
                  <c:v>0.40257034894716104</c:v>
                </c:pt>
                <c:pt idx="16">
                  <c:v>0.40917692101976444</c:v>
                </c:pt>
                <c:pt idx="17">
                  <c:v>0.41486325029948107</c:v>
                </c:pt>
                <c:pt idx="18">
                  <c:v>0.41975751926711263</c:v>
                </c:pt>
                <c:pt idx="19">
                  <c:v>0.42397005560632267</c:v>
                </c:pt>
                <c:pt idx="20">
                  <c:v>0.42759581923446122</c:v>
                </c:pt>
                <c:pt idx="21">
                  <c:v>0.43071654290983191</c:v>
                </c:pt>
                <c:pt idx="22">
                  <c:v>0.43340257466944204</c:v>
                </c:pt>
                <c:pt idx="23">
                  <c:v>0.43571446362986938</c:v>
                </c:pt>
                <c:pt idx="24">
                  <c:v>0.43770432489871836</c:v>
                </c:pt>
                <c:pt idx="25">
                  <c:v>0.43941701436479591</c:v>
                </c:pt>
                <c:pt idx="26">
                  <c:v>0.44089113984938805</c:v>
                </c:pt>
                <c:pt idx="27">
                  <c:v>0.44215993141222798</c:v>
                </c:pt>
                <c:pt idx="28">
                  <c:v>0.44325199043078506</c:v>
                </c:pt>
                <c:pt idx="29">
                  <c:v>0.44419193433878407</c:v>
                </c:pt>
                <c:pt idx="30">
                  <c:v>0.44500095155779101</c:v>
                </c:pt>
                <c:pt idx="31">
                  <c:v>0.4456972791312554</c:v>
                </c:pt>
                <c:pt idx="32">
                  <c:v>0.44629661382794095</c:v>
                </c:pt>
                <c:pt idx="33">
                  <c:v>0.44681246598192659</c:v>
                </c:pt>
                <c:pt idx="34">
                  <c:v>0.44725646404551794</c:v>
                </c:pt>
                <c:pt idx="35">
                  <c:v>0.44763861672036837</c:v>
                </c:pt>
                <c:pt idx="36">
                  <c:v>0.44796753857582433</c:v>
                </c:pt>
                <c:pt idx="37">
                  <c:v>0.44825064424043576</c:v>
                </c:pt>
                <c:pt idx="38">
                  <c:v>0.44849431554413799</c:v>
                </c:pt>
                <c:pt idx="39">
                  <c:v>0.44870404537886022</c:v>
                </c:pt>
                <c:pt idx="40">
                  <c:v>0.4488845615205001</c:v>
                </c:pt>
                <c:pt idx="41">
                  <c:v>0.44903993320348307</c:v>
                </c:pt>
                <c:pt idx="42">
                  <c:v>0.449173662850337</c:v>
                </c:pt>
                <c:pt idx="43">
                  <c:v>0.44928876502406873</c:v>
                </c:pt>
                <c:pt idx="44">
                  <c:v>0.44938783438310348</c:v>
                </c:pt>
                <c:pt idx="45">
                  <c:v>0.44947310417064396</c:v>
                </c:pt>
                <c:pt idx="46">
                  <c:v>0.44954649655692813</c:v>
                </c:pt>
                <c:pt idx="47">
                  <c:v>0.44960966596921187</c:v>
                </c:pt>
                <c:pt idx="48">
                  <c:v>0.44966403638623048</c:v>
                </c:pt>
                <c:pt idx="49">
                  <c:v>0.44971083343784002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5D-40F8-8ECC-630B987B50C1}"/>
            </c:ext>
          </c:extLst>
        </c:ser>
        <c:ser>
          <c:idx val="2"/>
          <c:order val="3"/>
          <c:tx>
            <c:strRef>
              <c:f>'1_HDV calcs'!$D$30</c:f>
              <c:strCache>
                <c:ptCount val="1"/>
                <c:pt idx="0">
                  <c:v>diesel HDV exergy efficiency, y = 45(1-e^-0.1x)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'1_HDV calcs'!$F$26:$BC$26</c:f>
              <c:numCache>
                <c:formatCode>General</c:formatCode>
                <c:ptCount val="50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  <c:pt idx="6">
                  <c:v>12</c:v>
                </c:pt>
                <c:pt idx="7">
                  <c:v>14</c:v>
                </c:pt>
                <c:pt idx="8">
                  <c:v>16</c:v>
                </c:pt>
                <c:pt idx="9">
                  <c:v>18</c:v>
                </c:pt>
                <c:pt idx="10">
                  <c:v>20</c:v>
                </c:pt>
                <c:pt idx="11">
                  <c:v>22</c:v>
                </c:pt>
                <c:pt idx="12">
                  <c:v>24</c:v>
                </c:pt>
                <c:pt idx="13">
                  <c:v>26</c:v>
                </c:pt>
                <c:pt idx="14">
                  <c:v>28</c:v>
                </c:pt>
                <c:pt idx="15">
                  <c:v>30</c:v>
                </c:pt>
                <c:pt idx="16">
                  <c:v>32</c:v>
                </c:pt>
                <c:pt idx="17">
                  <c:v>34</c:v>
                </c:pt>
                <c:pt idx="18">
                  <c:v>36</c:v>
                </c:pt>
                <c:pt idx="19">
                  <c:v>38</c:v>
                </c:pt>
                <c:pt idx="20">
                  <c:v>40</c:v>
                </c:pt>
                <c:pt idx="21">
                  <c:v>42</c:v>
                </c:pt>
                <c:pt idx="22">
                  <c:v>44</c:v>
                </c:pt>
                <c:pt idx="23">
                  <c:v>46</c:v>
                </c:pt>
                <c:pt idx="24">
                  <c:v>48</c:v>
                </c:pt>
                <c:pt idx="25">
                  <c:v>50</c:v>
                </c:pt>
                <c:pt idx="26">
                  <c:v>52</c:v>
                </c:pt>
                <c:pt idx="27">
                  <c:v>54</c:v>
                </c:pt>
                <c:pt idx="28">
                  <c:v>56</c:v>
                </c:pt>
                <c:pt idx="29">
                  <c:v>58</c:v>
                </c:pt>
                <c:pt idx="30">
                  <c:v>60</c:v>
                </c:pt>
                <c:pt idx="31">
                  <c:v>62</c:v>
                </c:pt>
                <c:pt idx="32">
                  <c:v>64</c:v>
                </c:pt>
                <c:pt idx="33">
                  <c:v>66</c:v>
                </c:pt>
                <c:pt idx="34">
                  <c:v>68</c:v>
                </c:pt>
                <c:pt idx="35">
                  <c:v>70</c:v>
                </c:pt>
                <c:pt idx="36">
                  <c:v>72</c:v>
                </c:pt>
                <c:pt idx="37">
                  <c:v>74</c:v>
                </c:pt>
                <c:pt idx="38">
                  <c:v>76</c:v>
                </c:pt>
                <c:pt idx="39">
                  <c:v>78</c:v>
                </c:pt>
                <c:pt idx="40">
                  <c:v>80</c:v>
                </c:pt>
                <c:pt idx="41">
                  <c:v>82</c:v>
                </c:pt>
                <c:pt idx="42">
                  <c:v>84</c:v>
                </c:pt>
                <c:pt idx="43">
                  <c:v>86</c:v>
                </c:pt>
                <c:pt idx="44">
                  <c:v>88</c:v>
                </c:pt>
                <c:pt idx="45">
                  <c:v>90</c:v>
                </c:pt>
                <c:pt idx="46">
                  <c:v>92</c:v>
                </c:pt>
                <c:pt idx="47">
                  <c:v>94</c:v>
                </c:pt>
                <c:pt idx="48">
                  <c:v>96</c:v>
                </c:pt>
                <c:pt idx="49">
                  <c:v>98</c:v>
                </c:pt>
              </c:numCache>
            </c:numRef>
          </c:cat>
          <c:val>
            <c:numRef>
              <c:f>'1_HDV calcs'!$F$30:$BC$30</c:f>
              <c:numCache>
                <c:formatCode>0.0%</c:formatCode>
                <c:ptCount val="50"/>
                <c:pt idx="0" formatCode="General">
                  <c:v>0</c:v>
                </c:pt>
                <c:pt idx="1">
                  <c:v>8.1571161114908183E-2</c:v>
                </c:pt>
                <c:pt idx="2">
                  <c:v>0.1483559792839623</c:v>
                </c:pt>
                <c:pt idx="3">
                  <c:v>0.20303476375768814</c:v>
                </c:pt>
                <c:pt idx="4">
                  <c:v>0.24780196614725028</c:v>
                </c:pt>
                <c:pt idx="5">
                  <c:v>0.28445425147285097</c:v>
                </c:pt>
                <c:pt idx="6">
                  <c:v>0.31446260463950909</c:v>
                </c:pt>
                <c:pt idx="7">
                  <c:v>0.33903136622627705</c:v>
                </c:pt>
                <c:pt idx="8">
                  <c:v>0.35914656690240504</c:v>
                </c:pt>
                <c:pt idx="9">
                  <c:v>0.37561550030028606</c:v>
                </c:pt>
                <c:pt idx="10">
                  <c:v>0.3890991225435243</c:v>
                </c:pt>
                <c:pt idx="11">
                  <c:v>0.40013857873694975</c:v>
                </c:pt>
                <c:pt idx="12">
                  <c:v>0.40917692101976444</c:v>
                </c:pt>
                <c:pt idx="13">
                  <c:v>0.41657688980354979</c:v>
                </c:pt>
                <c:pt idx="14">
                  <c:v>0.42263547181865191</c:v>
                </c:pt>
                <c:pt idx="15">
                  <c:v>0.42759581923446122</c:v>
                </c:pt>
                <c:pt idx="16">
                  <c:v>0.43165700820973518</c:v>
                </c:pt>
                <c:pt idx="17">
                  <c:v>0.43498202851785328</c:v>
                </c:pt>
                <c:pt idx="18">
                  <c:v>0.43770432489871836</c:v>
                </c:pt>
                <c:pt idx="19">
                  <c:v>0.43993315266472549</c:v>
                </c:pt>
                <c:pt idx="20">
                  <c:v>0.4417579625000696</c:v>
                </c:pt>
                <c:pt idx="21">
                  <c:v>0.44325199043078506</c:v>
                </c:pt>
                <c:pt idx="22">
                  <c:v>0.44447519704361921</c:v>
                </c:pt>
                <c:pt idx="23">
                  <c:v>0.44547667391491497</c:v>
                </c:pt>
                <c:pt idx="24">
                  <c:v>0.44629661382794095</c:v>
                </c:pt>
                <c:pt idx="25">
                  <c:v>0.44696792385041156</c:v>
                </c:pt>
                <c:pt idx="26">
                  <c:v>0.44751754601065763</c:v>
                </c:pt>
                <c:pt idx="27">
                  <c:v>0.44796753857582433</c:v>
                </c:pt>
                <c:pt idx="28">
                  <c:v>0.44833596132758269</c:v>
                </c:pt>
                <c:pt idx="29">
                  <c:v>0.44863760036458089</c:v>
                </c:pt>
                <c:pt idx="30">
                  <c:v>0.4488845615205001</c:v>
                </c:pt>
                <c:pt idx="31">
                  <c:v>0.44908675621366695</c:v>
                </c:pt>
                <c:pt idx="32">
                  <c:v>0.44925229922707177</c:v>
                </c:pt>
                <c:pt idx="33">
                  <c:v>0.44938783438310348</c:v>
                </c:pt>
                <c:pt idx="34">
                  <c:v>0.4494988011834698</c:v>
                </c:pt>
                <c:pt idx="35">
                  <c:v>0.44958965311550048</c:v>
                </c:pt>
                <c:pt idx="36">
                  <c:v>0.44966403638623048</c:v>
                </c:pt>
                <c:pt idx="37">
                  <c:v>0.44972493625749166</c:v>
                </c:pt>
                <c:pt idx="38">
                  <c:v>0.44977479685495175</c:v>
                </c:pt>
                <c:pt idx="39">
                  <c:v>0.44981561925945912</c:v>
                </c:pt>
                <c:pt idx="40">
                  <c:v>0.44984904181744384</c:v>
                </c:pt>
                <c:pt idx="41">
                  <c:v>0.44987640589351252</c:v>
                </c:pt>
                <c:pt idx="42">
                  <c:v>0.44989880970411955</c:v>
                </c:pt>
                <c:pt idx="43">
                  <c:v>0.44991715239284957</c:v>
                </c:pt>
                <c:pt idx="44">
                  <c:v>0.44993217011620701</c:v>
                </c:pt>
                <c:pt idx="45">
                  <c:v>0.44994446558816104</c:v>
                </c:pt>
                <c:pt idx="46">
                  <c:v>0.44995453226917326</c:v>
                </c:pt>
                <c:pt idx="47">
                  <c:v>0.44996277417049951</c:v>
                </c:pt>
                <c:pt idx="48">
                  <c:v>0.4499695220685791</c:v>
                </c:pt>
                <c:pt idx="49">
                  <c:v>0.44997504678025552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E5D-40F8-8ECC-630B987B50C1}"/>
            </c:ext>
          </c:extLst>
        </c:ser>
        <c:ser>
          <c:idx val="3"/>
          <c:order val="4"/>
          <c:tx>
            <c:strRef>
              <c:f>'1_HDV calcs'!$D$31</c:f>
              <c:strCache>
                <c:ptCount val="1"/>
                <c:pt idx="0">
                  <c:v>diesel exergy efficiency, y = 45(1-e^-0.11x)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'1_HDV calcs'!$F$26:$BC$26</c:f>
              <c:numCache>
                <c:formatCode>General</c:formatCode>
                <c:ptCount val="50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  <c:pt idx="6">
                  <c:v>12</c:v>
                </c:pt>
                <c:pt idx="7">
                  <c:v>14</c:v>
                </c:pt>
                <c:pt idx="8">
                  <c:v>16</c:v>
                </c:pt>
                <c:pt idx="9">
                  <c:v>18</c:v>
                </c:pt>
                <c:pt idx="10">
                  <c:v>20</c:v>
                </c:pt>
                <c:pt idx="11">
                  <c:v>22</c:v>
                </c:pt>
                <c:pt idx="12">
                  <c:v>24</c:v>
                </c:pt>
                <c:pt idx="13">
                  <c:v>26</c:v>
                </c:pt>
                <c:pt idx="14">
                  <c:v>28</c:v>
                </c:pt>
                <c:pt idx="15">
                  <c:v>30</c:v>
                </c:pt>
                <c:pt idx="16">
                  <c:v>32</c:v>
                </c:pt>
                <c:pt idx="17">
                  <c:v>34</c:v>
                </c:pt>
                <c:pt idx="18">
                  <c:v>36</c:v>
                </c:pt>
                <c:pt idx="19">
                  <c:v>38</c:v>
                </c:pt>
                <c:pt idx="20">
                  <c:v>40</c:v>
                </c:pt>
                <c:pt idx="21">
                  <c:v>42</c:v>
                </c:pt>
                <c:pt idx="22">
                  <c:v>44</c:v>
                </c:pt>
                <c:pt idx="23">
                  <c:v>46</c:v>
                </c:pt>
                <c:pt idx="24">
                  <c:v>48</c:v>
                </c:pt>
                <c:pt idx="25">
                  <c:v>50</c:v>
                </c:pt>
                <c:pt idx="26">
                  <c:v>52</c:v>
                </c:pt>
                <c:pt idx="27">
                  <c:v>54</c:v>
                </c:pt>
                <c:pt idx="28">
                  <c:v>56</c:v>
                </c:pt>
                <c:pt idx="29">
                  <c:v>58</c:v>
                </c:pt>
                <c:pt idx="30">
                  <c:v>60</c:v>
                </c:pt>
                <c:pt idx="31">
                  <c:v>62</c:v>
                </c:pt>
                <c:pt idx="32">
                  <c:v>64</c:v>
                </c:pt>
                <c:pt idx="33">
                  <c:v>66</c:v>
                </c:pt>
                <c:pt idx="34">
                  <c:v>68</c:v>
                </c:pt>
                <c:pt idx="35">
                  <c:v>70</c:v>
                </c:pt>
                <c:pt idx="36">
                  <c:v>72</c:v>
                </c:pt>
                <c:pt idx="37">
                  <c:v>74</c:v>
                </c:pt>
                <c:pt idx="38">
                  <c:v>76</c:v>
                </c:pt>
                <c:pt idx="39">
                  <c:v>78</c:v>
                </c:pt>
                <c:pt idx="40">
                  <c:v>80</c:v>
                </c:pt>
                <c:pt idx="41">
                  <c:v>82</c:v>
                </c:pt>
                <c:pt idx="42">
                  <c:v>84</c:v>
                </c:pt>
                <c:pt idx="43">
                  <c:v>86</c:v>
                </c:pt>
                <c:pt idx="44">
                  <c:v>88</c:v>
                </c:pt>
                <c:pt idx="45">
                  <c:v>90</c:v>
                </c:pt>
                <c:pt idx="46">
                  <c:v>92</c:v>
                </c:pt>
                <c:pt idx="47">
                  <c:v>94</c:v>
                </c:pt>
                <c:pt idx="48">
                  <c:v>96</c:v>
                </c:pt>
                <c:pt idx="49">
                  <c:v>98</c:v>
                </c:pt>
              </c:numCache>
            </c:numRef>
          </c:cat>
          <c:val>
            <c:numRef>
              <c:f>'1_HDV calcs'!$F$31:$BC$31</c:f>
              <c:numCache>
                <c:formatCode>0.0%</c:formatCode>
                <c:ptCount val="50"/>
                <c:pt idx="0" formatCode="General">
                  <c:v>0</c:v>
                </c:pt>
                <c:pt idx="1">
                  <c:v>8.8866540916884687E-2</c:v>
                </c:pt>
                <c:pt idx="2">
                  <c:v>0.16018361051258637</c:v>
                </c:pt>
                <c:pt idx="3">
                  <c:v>0.21741689947873538</c:v>
                </c:pt>
                <c:pt idx="4">
                  <c:v>0.26334768974328843</c:v>
                </c:pt>
                <c:pt idx="5">
                  <c:v>0.30020801233586419</c:v>
                </c:pt>
                <c:pt idx="6">
                  <c:v>0.32978911411536738</c:v>
                </c:pt>
                <c:pt idx="7">
                  <c:v>0.35352850435785987</c:v>
                </c:pt>
                <c:pt idx="8">
                  <c:v>0.3725798112796273</c:v>
                </c:pt>
                <c:pt idx="9">
                  <c:v>0.38786884321009824</c:v>
                </c:pt>
                <c:pt idx="10">
                  <c:v>0.40013857873694975</c:v>
                </c:pt>
                <c:pt idx="11">
                  <c:v>0.40998527214327618</c:v>
                </c:pt>
                <c:pt idx="12">
                  <c:v>0.41788742869962625</c:v>
                </c:pt>
                <c:pt idx="13">
                  <c:v>0.42422905788053966</c:v>
                </c:pt>
                <c:pt idx="14">
                  <c:v>0.42931833450793006</c:v>
                </c:pt>
                <c:pt idx="15">
                  <c:v>0.43340257466944204</c:v>
                </c:pt>
                <c:pt idx="16">
                  <c:v>0.43668025417444861</c:v>
                </c:pt>
                <c:pt idx="17">
                  <c:v>0.43931065359091276</c:v>
                </c:pt>
                <c:pt idx="18">
                  <c:v>0.44142159856877478</c:v>
                </c:pt>
                <c:pt idx="19">
                  <c:v>0.4431156715949735</c:v>
                </c:pt>
                <c:pt idx="20">
                  <c:v>0.44447519704361921</c:v>
                </c:pt>
                <c:pt idx="21">
                  <c:v>0.44556624177246573</c:v>
                </c:pt>
                <c:pt idx="22">
                  <c:v>0.44644182567678292</c:v>
                </c:pt>
                <c:pt idx="23">
                  <c:v>0.44714449821919089</c:v>
                </c:pt>
                <c:pt idx="24">
                  <c:v>0.44770840614328533</c:v>
                </c:pt>
                <c:pt idx="25">
                  <c:v>0.4481609528526912</c:v>
                </c:pt>
                <c:pt idx="26">
                  <c:v>0.44852413009394537</c:v>
                </c:pt>
                <c:pt idx="27">
                  <c:v>0.44881558665704413</c:v>
                </c:pt>
                <c:pt idx="28">
                  <c:v>0.44904948602772032</c:v>
                </c:pt>
                <c:pt idx="29">
                  <c:v>0.44923719466951956</c:v>
                </c:pt>
                <c:pt idx="30">
                  <c:v>0.44938783438310348</c:v>
                </c:pt>
                <c:pt idx="31">
                  <c:v>0.44950872558497423</c:v>
                </c:pt>
                <c:pt idx="32">
                  <c:v>0.44960574304698381</c:v>
                </c:pt>
                <c:pt idx="33">
                  <c:v>0.44968360138397706</c:v>
                </c:pt>
                <c:pt idx="34">
                  <c:v>0.44974608416299233</c:v>
                </c:pt>
                <c:pt idx="35">
                  <c:v>0.44979622776770101</c:v>
                </c:pt>
                <c:pt idx="36">
                  <c:v>0.44983646895307722</c:v>
                </c:pt>
                <c:pt idx="37">
                  <c:v>0.44986876326079395</c:v>
                </c:pt>
                <c:pt idx="38">
                  <c:v>0.44989468004980387</c:v>
                </c:pt>
                <c:pt idx="39">
                  <c:v>0.44991547876016719</c:v>
                </c:pt>
                <c:pt idx="40">
                  <c:v>0.44993217011620701</c:v>
                </c:pt>
                <c:pt idx="41">
                  <c:v>0.44994556524319257</c:v>
                </c:pt>
                <c:pt idx="42">
                  <c:v>0.44995631508439948</c:v>
                </c:pt>
                <c:pt idx="43">
                  <c:v>0.44996494203404319</c:v>
                </c:pt>
                <c:pt idx="44">
                  <c:v>0.44997186532330136</c:v>
                </c:pt>
                <c:pt idx="45">
                  <c:v>0.44997742139307478</c:v>
                </c:pt>
                <c:pt idx="46">
                  <c:v>0.44998188024351066</c:v>
                </c:pt>
                <c:pt idx="47">
                  <c:v>0.44998545855480282</c:v>
                </c:pt>
                <c:pt idx="48">
                  <c:v>0.44998833021687973</c:v>
                </c:pt>
                <c:pt idx="49">
                  <c:v>0.44999063477967782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E5D-40F8-8ECC-630B987B50C1}"/>
            </c:ext>
          </c:extLst>
        </c:ser>
        <c:ser>
          <c:idx val="4"/>
          <c:order val="5"/>
          <c:tx>
            <c:strRef>
              <c:f>'1_HDV calcs'!$D$32</c:f>
              <c:strCache>
                <c:ptCount val="1"/>
                <c:pt idx="0">
                  <c:v>diesel exergy efficiency, y = 45(1-e^-0.12x)</c:v>
                </c:pt>
              </c:strCache>
            </c:strRef>
          </c:tx>
          <c:spPr>
            <a:ln w="28575" cap="rnd">
              <a:solidFill>
                <a:srgbClr val="FF0000"/>
              </a:solidFill>
              <a:prstDash val="sysDot"/>
              <a:round/>
            </a:ln>
            <a:effectLst/>
          </c:spPr>
          <c:marker>
            <c:symbol val="none"/>
          </c:marker>
          <c:cat>
            <c:numRef>
              <c:f>'1_HDV calcs'!$F$26:$BC$26</c:f>
              <c:numCache>
                <c:formatCode>General</c:formatCode>
                <c:ptCount val="50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  <c:pt idx="6">
                  <c:v>12</c:v>
                </c:pt>
                <c:pt idx="7">
                  <c:v>14</c:v>
                </c:pt>
                <c:pt idx="8">
                  <c:v>16</c:v>
                </c:pt>
                <c:pt idx="9">
                  <c:v>18</c:v>
                </c:pt>
                <c:pt idx="10">
                  <c:v>20</c:v>
                </c:pt>
                <c:pt idx="11">
                  <c:v>22</c:v>
                </c:pt>
                <c:pt idx="12">
                  <c:v>24</c:v>
                </c:pt>
                <c:pt idx="13">
                  <c:v>26</c:v>
                </c:pt>
                <c:pt idx="14">
                  <c:v>28</c:v>
                </c:pt>
                <c:pt idx="15">
                  <c:v>30</c:v>
                </c:pt>
                <c:pt idx="16">
                  <c:v>32</c:v>
                </c:pt>
                <c:pt idx="17">
                  <c:v>34</c:v>
                </c:pt>
                <c:pt idx="18">
                  <c:v>36</c:v>
                </c:pt>
                <c:pt idx="19">
                  <c:v>38</c:v>
                </c:pt>
                <c:pt idx="20">
                  <c:v>40</c:v>
                </c:pt>
                <c:pt idx="21">
                  <c:v>42</c:v>
                </c:pt>
                <c:pt idx="22">
                  <c:v>44</c:v>
                </c:pt>
                <c:pt idx="23">
                  <c:v>46</c:v>
                </c:pt>
                <c:pt idx="24">
                  <c:v>48</c:v>
                </c:pt>
                <c:pt idx="25">
                  <c:v>50</c:v>
                </c:pt>
                <c:pt idx="26">
                  <c:v>52</c:v>
                </c:pt>
                <c:pt idx="27">
                  <c:v>54</c:v>
                </c:pt>
                <c:pt idx="28">
                  <c:v>56</c:v>
                </c:pt>
                <c:pt idx="29">
                  <c:v>58</c:v>
                </c:pt>
                <c:pt idx="30">
                  <c:v>60</c:v>
                </c:pt>
                <c:pt idx="31">
                  <c:v>62</c:v>
                </c:pt>
                <c:pt idx="32">
                  <c:v>64</c:v>
                </c:pt>
                <c:pt idx="33">
                  <c:v>66</c:v>
                </c:pt>
                <c:pt idx="34">
                  <c:v>68</c:v>
                </c:pt>
                <c:pt idx="35">
                  <c:v>70</c:v>
                </c:pt>
                <c:pt idx="36">
                  <c:v>72</c:v>
                </c:pt>
                <c:pt idx="37">
                  <c:v>74</c:v>
                </c:pt>
                <c:pt idx="38">
                  <c:v>76</c:v>
                </c:pt>
                <c:pt idx="39">
                  <c:v>78</c:v>
                </c:pt>
                <c:pt idx="40">
                  <c:v>80</c:v>
                </c:pt>
                <c:pt idx="41">
                  <c:v>82</c:v>
                </c:pt>
                <c:pt idx="42">
                  <c:v>84</c:v>
                </c:pt>
                <c:pt idx="43">
                  <c:v>86</c:v>
                </c:pt>
                <c:pt idx="44">
                  <c:v>88</c:v>
                </c:pt>
                <c:pt idx="45">
                  <c:v>90</c:v>
                </c:pt>
                <c:pt idx="46">
                  <c:v>92</c:v>
                </c:pt>
                <c:pt idx="47">
                  <c:v>94</c:v>
                </c:pt>
                <c:pt idx="48">
                  <c:v>96</c:v>
                </c:pt>
                <c:pt idx="49">
                  <c:v>98</c:v>
                </c:pt>
              </c:numCache>
            </c:numRef>
          </c:cat>
          <c:val>
            <c:numRef>
              <c:f>'1_HDV calcs'!$F$32:$BC$32</c:f>
              <c:numCache>
                <c:formatCode>0.0%</c:formatCode>
                <c:ptCount val="50"/>
                <c:pt idx="0" formatCode="General">
                  <c:v>0</c:v>
                </c:pt>
                <c:pt idx="1">
                  <c:v>9.6017462520050945E-2</c:v>
                </c:pt>
                <c:pt idx="2">
                  <c:v>0.17154747368723661</c:v>
                </c:pt>
                <c:pt idx="3">
                  <c:v>0.23096148481801271</c:v>
                </c:pt>
                <c:pt idx="4">
                  <c:v>0.27769820131119954</c:v>
                </c:pt>
                <c:pt idx="5">
                  <c:v>0.31446260463950898</c:v>
                </c:pt>
                <c:pt idx="6">
                  <c:v>0.34338250859304514</c:v>
                </c:pt>
                <c:pt idx="7">
                  <c:v>0.36613171078226547</c:v>
                </c:pt>
                <c:pt idx="8">
                  <c:v>0.38402686704134242</c:v>
                </c:pt>
                <c:pt idx="9">
                  <c:v>0.39810369553287189</c:v>
                </c:pt>
                <c:pt idx="10">
                  <c:v>0.40917692101976444</c:v>
                </c:pt>
                <c:pt idx="11">
                  <c:v>0.41788742869962625</c:v>
                </c:pt>
                <c:pt idx="12">
                  <c:v>0.4247393567246398</c:v>
                </c:pt>
                <c:pt idx="13">
                  <c:v>0.43012927421113822</c:v>
                </c:pt>
                <c:pt idx="14">
                  <c:v>0.43436913347486766</c:v>
                </c:pt>
                <c:pt idx="15">
                  <c:v>0.43770432489871836</c:v>
                </c:pt>
                <c:pt idx="16">
                  <c:v>0.44032787939470952</c:v>
                </c:pt>
                <c:pt idx="17">
                  <c:v>0.44239164045628265</c:v>
                </c:pt>
                <c:pt idx="18">
                  <c:v>0.44401505240590033</c:v>
                </c:pt>
                <c:pt idx="19">
                  <c:v>0.44529207347545791</c:v>
                </c:pt>
                <c:pt idx="20">
                  <c:v>0.44629661382794095</c:v>
                </c:pt>
                <c:pt idx="21">
                  <c:v>0.4470868132567698</c:v>
                </c:pt>
                <c:pt idx="22">
                  <c:v>0.44770840614328533</c:v>
                </c:pt>
                <c:pt idx="23">
                  <c:v>0.44819736842605928</c:v>
                </c:pt>
                <c:pt idx="24">
                  <c:v>0.44858199978070007</c:v>
                </c:pt>
                <c:pt idx="25">
                  <c:v>0.4488845615205001</c:v>
                </c:pt>
                <c:pt idx="26">
                  <c:v>0.4491225650147197</c:v>
                </c:pt>
                <c:pt idx="27">
                  <c:v>0.44930978519430398</c:v>
                </c:pt>
                <c:pt idx="28">
                  <c:v>0.44945705780371886</c:v>
                </c:pt>
                <c:pt idx="29">
                  <c:v>0.4495729065414566</c:v>
                </c:pt>
                <c:pt idx="30">
                  <c:v>0.44966403638623048</c:v>
                </c:pt>
                <c:pt idx="31">
                  <c:v>0.44973572166110432</c:v>
                </c:pt>
                <c:pt idx="32">
                  <c:v>0.44979211129554825</c:v>
                </c:pt>
                <c:pt idx="33">
                  <c:v>0.44983646895307722</c:v>
                </c:pt>
                <c:pt idx="34">
                  <c:v>0.44987136192234117</c:v>
                </c:pt>
                <c:pt idx="35">
                  <c:v>0.44989880970411955</c:v>
                </c:pt>
                <c:pt idx="36">
                  <c:v>0.44992040089399082</c:v>
                </c:pt>
                <c:pt idx="37">
                  <c:v>0.44993738512549725</c:v>
                </c:pt>
                <c:pt idx="38">
                  <c:v>0.44995074539519891</c:v>
                </c:pt>
                <c:pt idx="39">
                  <c:v>0.44996125495557765</c:v>
                </c:pt>
                <c:pt idx="40">
                  <c:v>0.4499695220685791</c:v>
                </c:pt>
                <c:pt idx="41">
                  <c:v>0.44997602520999663</c:v>
                </c:pt>
                <c:pt idx="42">
                  <c:v>0.44998114076222018</c:v>
                </c:pt>
                <c:pt idx="43">
                  <c:v>0.44998516479812389</c:v>
                </c:pt>
                <c:pt idx="44">
                  <c:v>0.44998833021687973</c:v>
                </c:pt>
                <c:pt idx="45">
                  <c:v>0.44999082022346498</c:v>
                </c:pt>
                <c:pt idx="46">
                  <c:v>0.44999277893201922</c:v>
                </c:pt>
                <c:pt idx="47">
                  <c:v>0.4499943197067397</c:v>
                </c:pt>
                <c:pt idx="48">
                  <c:v>0.44999553172306234</c:v>
                </c:pt>
                <c:pt idx="49">
                  <c:v>0.44999648512886992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E5D-40F8-8ECC-630B987B50C1}"/>
            </c:ext>
          </c:extLst>
        </c:ser>
        <c:ser>
          <c:idx val="5"/>
          <c:order val="6"/>
          <c:tx>
            <c:strRef>
              <c:f>'1_HDV calcs'!$D$33</c:f>
              <c:strCache>
                <c:ptCount val="1"/>
                <c:pt idx="0">
                  <c:v>Ayres &amp; warr y = 0.52xmpg (US Gallon)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'1_HDV calcs'!$F$26:$BC$26</c:f>
              <c:numCache>
                <c:formatCode>General</c:formatCode>
                <c:ptCount val="50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  <c:pt idx="6">
                  <c:v>12</c:v>
                </c:pt>
                <c:pt idx="7">
                  <c:v>14</c:v>
                </c:pt>
                <c:pt idx="8">
                  <c:v>16</c:v>
                </c:pt>
                <c:pt idx="9">
                  <c:v>18</c:v>
                </c:pt>
                <c:pt idx="10">
                  <c:v>20</c:v>
                </c:pt>
                <c:pt idx="11">
                  <c:v>22</c:v>
                </c:pt>
                <c:pt idx="12">
                  <c:v>24</c:v>
                </c:pt>
                <c:pt idx="13">
                  <c:v>26</c:v>
                </c:pt>
                <c:pt idx="14">
                  <c:v>28</c:v>
                </c:pt>
                <c:pt idx="15">
                  <c:v>30</c:v>
                </c:pt>
                <c:pt idx="16">
                  <c:v>32</c:v>
                </c:pt>
                <c:pt idx="17">
                  <c:v>34</c:v>
                </c:pt>
                <c:pt idx="18">
                  <c:v>36</c:v>
                </c:pt>
                <c:pt idx="19">
                  <c:v>38</c:v>
                </c:pt>
                <c:pt idx="20">
                  <c:v>40</c:v>
                </c:pt>
                <c:pt idx="21">
                  <c:v>42</c:v>
                </c:pt>
                <c:pt idx="22">
                  <c:v>44</c:v>
                </c:pt>
                <c:pt idx="23">
                  <c:v>46</c:v>
                </c:pt>
                <c:pt idx="24">
                  <c:v>48</c:v>
                </c:pt>
                <c:pt idx="25">
                  <c:v>50</c:v>
                </c:pt>
                <c:pt idx="26">
                  <c:v>52</c:v>
                </c:pt>
                <c:pt idx="27">
                  <c:v>54</c:v>
                </c:pt>
                <c:pt idx="28">
                  <c:v>56</c:v>
                </c:pt>
                <c:pt idx="29">
                  <c:v>58</c:v>
                </c:pt>
                <c:pt idx="30">
                  <c:v>60</c:v>
                </c:pt>
                <c:pt idx="31">
                  <c:v>62</c:v>
                </c:pt>
                <c:pt idx="32">
                  <c:v>64</c:v>
                </c:pt>
                <c:pt idx="33">
                  <c:v>66</c:v>
                </c:pt>
                <c:pt idx="34">
                  <c:v>68</c:v>
                </c:pt>
                <c:pt idx="35">
                  <c:v>70</c:v>
                </c:pt>
                <c:pt idx="36">
                  <c:v>72</c:v>
                </c:pt>
                <c:pt idx="37">
                  <c:v>74</c:v>
                </c:pt>
                <c:pt idx="38">
                  <c:v>76</c:v>
                </c:pt>
                <c:pt idx="39">
                  <c:v>78</c:v>
                </c:pt>
                <c:pt idx="40">
                  <c:v>80</c:v>
                </c:pt>
                <c:pt idx="41">
                  <c:v>82</c:v>
                </c:pt>
                <c:pt idx="42">
                  <c:v>84</c:v>
                </c:pt>
                <c:pt idx="43">
                  <c:v>86</c:v>
                </c:pt>
                <c:pt idx="44">
                  <c:v>88</c:v>
                </c:pt>
                <c:pt idx="45">
                  <c:v>90</c:v>
                </c:pt>
                <c:pt idx="46">
                  <c:v>92</c:v>
                </c:pt>
                <c:pt idx="47">
                  <c:v>94</c:v>
                </c:pt>
                <c:pt idx="48">
                  <c:v>96</c:v>
                </c:pt>
                <c:pt idx="49">
                  <c:v>98</c:v>
                </c:pt>
              </c:numCache>
            </c:numRef>
          </c:cat>
          <c:val>
            <c:numRef>
              <c:f>'1_HDV calcs'!$F$33:$BC$33</c:f>
              <c:numCache>
                <c:formatCode>0.00%</c:formatCode>
                <c:ptCount val="50"/>
                <c:pt idx="0">
                  <c:v>0</c:v>
                </c:pt>
                <c:pt idx="1">
                  <c:v>1.04E-2</c:v>
                </c:pt>
                <c:pt idx="2">
                  <c:v>2.0799999999999999E-2</c:v>
                </c:pt>
                <c:pt idx="3">
                  <c:v>3.1199999999999999E-2</c:v>
                </c:pt>
                <c:pt idx="4">
                  <c:v>4.1599999999999998E-2</c:v>
                </c:pt>
                <c:pt idx="5">
                  <c:v>5.1999999999999998E-2</c:v>
                </c:pt>
                <c:pt idx="6">
                  <c:v>6.2399999999999997E-2</c:v>
                </c:pt>
                <c:pt idx="7">
                  <c:v>7.2800000000000004E-2</c:v>
                </c:pt>
                <c:pt idx="8">
                  <c:v>8.3199999999999996E-2</c:v>
                </c:pt>
                <c:pt idx="9">
                  <c:v>9.3599999999999989E-2</c:v>
                </c:pt>
                <c:pt idx="10">
                  <c:v>0.104</c:v>
                </c:pt>
                <c:pt idx="11">
                  <c:v>0.1144</c:v>
                </c:pt>
                <c:pt idx="12">
                  <c:v>0.12479999999999999</c:v>
                </c:pt>
                <c:pt idx="13">
                  <c:v>0.13519999999999999</c:v>
                </c:pt>
                <c:pt idx="14">
                  <c:v>0.14560000000000001</c:v>
                </c:pt>
                <c:pt idx="15">
                  <c:v>0.156</c:v>
                </c:pt>
                <c:pt idx="16">
                  <c:v>0.16639999999999999</c:v>
                </c:pt>
                <c:pt idx="17">
                  <c:v>0.17679999999999998</c:v>
                </c:pt>
                <c:pt idx="18">
                  <c:v>0.18719999999999998</c:v>
                </c:pt>
                <c:pt idx="19">
                  <c:v>0.1976</c:v>
                </c:pt>
                <c:pt idx="20">
                  <c:v>0.20799999999999999</c:v>
                </c:pt>
                <c:pt idx="21">
                  <c:v>0.21839999999999998</c:v>
                </c:pt>
                <c:pt idx="22">
                  <c:v>0.2288</c:v>
                </c:pt>
                <c:pt idx="23">
                  <c:v>0.2392</c:v>
                </c:pt>
                <c:pt idx="24">
                  <c:v>0.24959999999999999</c:v>
                </c:pt>
                <c:pt idx="25">
                  <c:v>0.26</c:v>
                </c:pt>
                <c:pt idx="26">
                  <c:v>0.27039999999999997</c:v>
                </c:pt>
                <c:pt idx="27">
                  <c:v>0.28079999999999999</c:v>
                </c:pt>
                <c:pt idx="28">
                  <c:v>0.29120000000000001</c:v>
                </c:pt>
                <c:pt idx="29">
                  <c:v>0.30159999999999998</c:v>
                </c:pt>
                <c:pt idx="30">
                  <c:v>0.312</c:v>
                </c:pt>
                <c:pt idx="31">
                  <c:v>0.32239999999999996</c:v>
                </c:pt>
                <c:pt idx="32">
                  <c:v>0.33279999999999998</c:v>
                </c:pt>
                <c:pt idx="33">
                  <c:v>0.34320000000000001</c:v>
                </c:pt>
                <c:pt idx="34">
                  <c:v>0.35359999999999997</c:v>
                </c:pt>
                <c:pt idx="35">
                  <c:v>0.36399999999999999</c:v>
                </c:pt>
                <c:pt idx="36">
                  <c:v>0.37439999999999996</c:v>
                </c:pt>
                <c:pt idx="37">
                  <c:v>0.38479999999999998</c:v>
                </c:pt>
                <c:pt idx="38">
                  <c:v>0.3952</c:v>
                </c:pt>
                <c:pt idx="39">
                  <c:v>0.40559999999999996</c:v>
                </c:pt>
                <c:pt idx="40">
                  <c:v>0.41599999999999998</c:v>
                </c:pt>
                <c:pt idx="41">
                  <c:v>0.4264</c:v>
                </c:pt>
                <c:pt idx="42">
                  <c:v>0.43679999999999997</c:v>
                </c:pt>
                <c:pt idx="43">
                  <c:v>0.44719999999999999</c:v>
                </c:pt>
                <c:pt idx="44">
                  <c:v>0.45760000000000001</c:v>
                </c:pt>
                <c:pt idx="45">
                  <c:v>0.46799999999999997</c:v>
                </c:pt>
                <c:pt idx="46">
                  <c:v>0.47839999999999999</c:v>
                </c:pt>
                <c:pt idx="47">
                  <c:v>0.48879999999999996</c:v>
                </c:pt>
                <c:pt idx="48">
                  <c:v>0.49919999999999998</c:v>
                </c:pt>
                <c:pt idx="49">
                  <c:v>0.50959999999999994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E5D-40F8-8ECC-630B987B50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74435920"/>
        <c:axId val="574437232"/>
      </c:lineChart>
      <c:catAx>
        <c:axId val="57443592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mpg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4437232"/>
        <c:crosses val="autoZero"/>
        <c:auto val="1"/>
        <c:lblAlgn val="ctr"/>
        <c:lblOffset val="100"/>
        <c:noMultiLvlLbl val="0"/>
      </c:catAx>
      <c:valAx>
        <c:axId val="574437232"/>
        <c:scaling>
          <c:orientation val="minMax"/>
          <c:max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efficiency %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4435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fuel use IEA vs DECC data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HDVs'!$C$113</c:f>
              <c:strCache>
                <c:ptCount val="1"/>
                <c:pt idx="0">
                  <c:v>Motor gasoline - IEA data</c:v>
                </c:pt>
              </c:strCache>
            </c:strRef>
          </c:tx>
          <c:marker>
            <c:symbol val="none"/>
          </c:marker>
          <c:cat>
            <c:numRef>
              <c:f>'1_UK stats HDVs'!$D$112:$BB$112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HDVs'!$D$113:$BB$113</c:f>
              <c:numCache>
                <c:formatCode>#,##0.00</c:formatCode>
                <c:ptCount val="51"/>
                <c:pt idx="0">
                  <c:v>8.1414919999999995</c:v>
                </c:pt>
                <c:pt idx="1">
                  <c:v>8.6942769999999996</c:v>
                </c:pt>
                <c:pt idx="2">
                  <c:v>9.1461740000000002</c:v>
                </c:pt>
                <c:pt idx="3">
                  <c:v>9.6569219999999998</c:v>
                </c:pt>
                <c:pt idx="4">
                  <c:v>10.689978</c:v>
                </c:pt>
                <c:pt idx="5">
                  <c:v>11.466609</c:v>
                </c:pt>
                <c:pt idx="6">
                  <c:v>12.089806000000001</c:v>
                </c:pt>
                <c:pt idx="7">
                  <c:v>12.903219999999999</c:v>
                </c:pt>
                <c:pt idx="8">
                  <c:v>13.675647000000001</c:v>
                </c:pt>
                <c:pt idx="9">
                  <c:v>14.128594999999999</c:v>
                </c:pt>
                <c:pt idx="10">
                  <c:v>14.959873999999999</c:v>
                </c:pt>
                <c:pt idx="11">
                  <c:v>15.725995999999999</c:v>
                </c:pt>
                <c:pt idx="12">
                  <c:v>16.708608000000002</c:v>
                </c:pt>
                <c:pt idx="13">
                  <c:v>17.788955999999999</c:v>
                </c:pt>
                <c:pt idx="14">
                  <c:v>17.323397</c:v>
                </c:pt>
                <c:pt idx="15">
                  <c:v>16.946116000000004</c:v>
                </c:pt>
                <c:pt idx="16">
                  <c:v>17.738512</c:v>
                </c:pt>
                <c:pt idx="17">
                  <c:v>18.218782999999998</c:v>
                </c:pt>
                <c:pt idx="18">
                  <c:v>19.282315999999998</c:v>
                </c:pt>
                <c:pt idx="19">
                  <c:v>19.636476999999999</c:v>
                </c:pt>
                <c:pt idx="20">
                  <c:v>20.119901000000002</c:v>
                </c:pt>
                <c:pt idx="21">
                  <c:v>19.671157000000001</c:v>
                </c:pt>
                <c:pt idx="22">
                  <c:v>20.227095000000002</c:v>
                </c:pt>
                <c:pt idx="23">
                  <c:v>20.562339000000001</c:v>
                </c:pt>
                <c:pt idx="24">
                  <c:v>21.255946999999999</c:v>
                </c:pt>
                <c:pt idx="25">
                  <c:v>21.441959999999998</c:v>
                </c:pt>
                <c:pt idx="26">
                  <c:v>22.563294000000003</c:v>
                </c:pt>
                <c:pt idx="27">
                  <c:v>23.313651999999998</c:v>
                </c:pt>
                <c:pt idx="28">
                  <c:v>24.432883999999998</c:v>
                </c:pt>
                <c:pt idx="29">
                  <c:v>25.142257000000001</c:v>
                </c:pt>
                <c:pt idx="30">
                  <c:v>25.550014000000001</c:v>
                </c:pt>
                <c:pt idx="31">
                  <c:v>25.244195999999999</c:v>
                </c:pt>
                <c:pt idx="32">
                  <c:v>25.268366999999998</c:v>
                </c:pt>
                <c:pt idx="33">
                  <c:v>24.976210999999999</c:v>
                </c:pt>
                <c:pt idx="34">
                  <c:v>24.006209999999999</c:v>
                </c:pt>
                <c:pt idx="35">
                  <c:v>23.070888999999998</c:v>
                </c:pt>
                <c:pt idx="36">
                  <c:v>23.55011</c:v>
                </c:pt>
                <c:pt idx="37">
                  <c:v>23.385115000000003</c:v>
                </c:pt>
                <c:pt idx="38">
                  <c:v>22.960543000000001</c:v>
                </c:pt>
                <c:pt idx="39">
                  <c:v>23.747683000000002</c:v>
                </c:pt>
                <c:pt idx="40">
                  <c:v>22.703067000000001</c:v>
                </c:pt>
                <c:pt idx="41">
                  <c:v>21.998949</c:v>
                </c:pt>
                <c:pt idx="42">
                  <c:v>21.867583999999997</c:v>
                </c:pt>
                <c:pt idx="43">
                  <c:v>20.932262999999999</c:v>
                </c:pt>
                <c:pt idx="44">
                  <c:v>20.476163</c:v>
                </c:pt>
                <c:pt idx="45">
                  <c:v>19.684819000000001</c:v>
                </c:pt>
                <c:pt idx="46">
                  <c:v>19.067927999999998</c:v>
                </c:pt>
                <c:pt idx="47">
                  <c:v>18.486768000000001</c:v>
                </c:pt>
                <c:pt idx="48">
                  <c:v>17.511512</c:v>
                </c:pt>
                <c:pt idx="49">
                  <c:v>16.564632000000003</c:v>
                </c:pt>
                <c:pt idx="50">
                  <c:v>15.751218000000001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6F0-4EE0-ADAF-B5CC12E4BFD8}"/>
            </c:ext>
          </c:extLst>
        </c:ser>
        <c:ser>
          <c:idx val="1"/>
          <c:order val="1"/>
          <c:tx>
            <c:strRef>
              <c:f>'1_UK stats HDVs'!$C$114</c:f>
              <c:strCache>
                <c:ptCount val="1"/>
                <c:pt idx="0">
                  <c:v>Gas/diesel oil - IEA data</c:v>
                </c:pt>
              </c:strCache>
            </c:strRef>
          </c:tx>
          <c:marker>
            <c:symbol val="none"/>
          </c:marker>
          <c:cat>
            <c:numRef>
              <c:f>'1_UK stats HDVs'!$D$112:$BB$112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HDVs'!$D$114:$BB$114</c:f>
              <c:numCache>
                <c:formatCode>#,##0.00</c:formatCode>
                <c:ptCount val="51"/>
                <c:pt idx="0">
                  <c:v>2.6698770000000001</c:v>
                </c:pt>
                <c:pt idx="1">
                  <c:v>2.933405</c:v>
                </c:pt>
                <c:pt idx="2">
                  <c:v>3.1430069999999999</c:v>
                </c:pt>
                <c:pt idx="3">
                  <c:v>3.4167100000000001</c:v>
                </c:pt>
                <c:pt idx="4">
                  <c:v>3.7585839999999999</c:v>
                </c:pt>
                <c:pt idx="5">
                  <c:v>3.974291</c:v>
                </c:pt>
                <c:pt idx="6">
                  <c:v>4.1777870000000004</c:v>
                </c:pt>
                <c:pt idx="7">
                  <c:v>4.4311409999999993</c:v>
                </c:pt>
                <c:pt idx="8">
                  <c:v>4.732316</c:v>
                </c:pt>
                <c:pt idx="9">
                  <c:v>4.9531099999999997</c:v>
                </c:pt>
                <c:pt idx="10">
                  <c:v>5.12303</c:v>
                </c:pt>
                <c:pt idx="11">
                  <c:v>5.2766700000000002</c:v>
                </c:pt>
                <c:pt idx="12">
                  <c:v>5.3458579999999998</c:v>
                </c:pt>
                <c:pt idx="13">
                  <c:v>5.7569219999999994</c:v>
                </c:pt>
                <c:pt idx="14">
                  <c:v>5.6144740000000004</c:v>
                </c:pt>
                <c:pt idx="15">
                  <c:v>5.5086560000000002</c:v>
                </c:pt>
                <c:pt idx="16">
                  <c:v>5.6918030000000002</c:v>
                </c:pt>
                <c:pt idx="17">
                  <c:v>5.810848</c:v>
                </c:pt>
                <c:pt idx="18">
                  <c:v>5.977716</c:v>
                </c:pt>
                <c:pt idx="19">
                  <c:v>6.1628980000000002</c:v>
                </c:pt>
                <c:pt idx="20">
                  <c:v>5.9563490000000003</c:v>
                </c:pt>
                <c:pt idx="21">
                  <c:v>5.6460159999999995</c:v>
                </c:pt>
                <c:pt idx="22">
                  <c:v>5.8311980000000005</c:v>
                </c:pt>
                <c:pt idx="23">
                  <c:v>6.2911009999999994</c:v>
                </c:pt>
                <c:pt idx="24">
                  <c:v>6.8731009999999992</c:v>
                </c:pt>
                <c:pt idx="25">
                  <c:v>7.2302379999999999</c:v>
                </c:pt>
                <c:pt idx="26">
                  <c:v>8.0035249999999998</c:v>
                </c:pt>
                <c:pt idx="27">
                  <c:v>8.6170679999999997</c:v>
                </c:pt>
                <c:pt idx="28">
                  <c:v>9.5338209999999997</c:v>
                </c:pt>
                <c:pt idx="29">
                  <c:v>10.294898</c:v>
                </c:pt>
                <c:pt idx="30">
                  <c:v>10.838234</c:v>
                </c:pt>
                <c:pt idx="31">
                  <c:v>10.880968999999999</c:v>
                </c:pt>
                <c:pt idx="32">
                  <c:v>11.326627</c:v>
                </c:pt>
                <c:pt idx="33">
                  <c:v>12.012409999999999</c:v>
                </c:pt>
                <c:pt idx="34">
                  <c:v>13.140799999999999</c:v>
                </c:pt>
                <c:pt idx="35">
                  <c:v>13.692276</c:v>
                </c:pt>
                <c:pt idx="36">
                  <c:v>14.616151</c:v>
                </c:pt>
                <c:pt idx="37">
                  <c:v>15.237833</c:v>
                </c:pt>
                <c:pt idx="38">
                  <c:v>15.407753000000001</c:v>
                </c:pt>
                <c:pt idx="39">
                  <c:v>15.779134000000001</c:v>
                </c:pt>
                <c:pt idx="40">
                  <c:v>16.158656000000001</c:v>
                </c:pt>
                <c:pt idx="41">
                  <c:v>16.705044000000001</c:v>
                </c:pt>
                <c:pt idx="42">
                  <c:v>17.221926</c:v>
                </c:pt>
                <c:pt idx="43">
                  <c:v>18.021668000000002</c:v>
                </c:pt>
                <c:pt idx="44">
                  <c:v>18.837689999999998</c:v>
                </c:pt>
                <c:pt idx="45">
                  <c:v>19.77581</c:v>
                </c:pt>
                <c:pt idx="46">
                  <c:v>20.498223000000003</c:v>
                </c:pt>
                <c:pt idx="47">
                  <c:v>21.407852999999999</c:v>
                </c:pt>
                <c:pt idx="48">
                  <c:v>20.932687999999999</c:v>
                </c:pt>
                <c:pt idx="49">
                  <c:v>20.407667</c:v>
                </c:pt>
                <c:pt idx="50">
                  <c:v>21.237934000000003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F0-4EE0-ADAF-B5CC12E4BFD8}"/>
            </c:ext>
          </c:extLst>
        </c:ser>
        <c:ser>
          <c:idx val="2"/>
          <c:order val="2"/>
          <c:tx>
            <c:strRef>
              <c:f>'1_UK stats HDVs'!$C$115</c:f>
              <c:strCache>
                <c:ptCount val="1"/>
                <c:pt idx="0">
                  <c:v>Total - IEA data</c:v>
                </c:pt>
              </c:strCache>
            </c:strRef>
          </c:tx>
          <c:marker>
            <c:symbol val="none"/>
          </c:marker>
          <c:cat>
            <c:numRef>
              <c:f>'1_UK stats HDVs'!$D$112:$BB$112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HDVs'!$D$115:$BB$115</c:f>
              <c:numCache>
                <c:formatCode>#,##0.00</c:formatCode>
                <c:ptCount val="51"/>
                <c:pt idx="0">
                  <c:v>10.811368999999999</c:v>
                </c:pt>
                <c:pt idx="1">
                  <c:v>11.627682</c:v>
                </c:pt>
                <c:pt idx="2">
                  <c:v>12.289180999999999</c:v>
                </c:pt>
                <c:pt idx="3">
                  <c:v>13.073632</c:v>
                </c:pt>
                <c:pt idx="4">
                  <c:v>14.448561999999999</c:v>
                </c:pt>
                <c:pt idx="5">
                  <c:v>15.440899999999999</c:v>
                </c:pt>
                <c:pt idx="6">
                  <c:v>16.267593000000002</c:v>
                </c:pt>
                <c:pt idx="7">
                  <c:v>17.334360999999998</c:v>
                </c:pt>
                <c:pt idx="8">
                  <c:v>18.407963000000002</c:v>
                </c:pt>
                <c:pt idx="9">
                  <c:v>19.081704999999999</c:v>
                </c:pt>
                <c:pt idx="10">
                  <c:v>20.082903999999999</c:v>
                </c:pt>
                <c:pt idx="11">
                  <c:v>21.002665999999998</c:v>
                </c:pt>
                <c:pt idx="12">
                  <c:v>22.054466000000001</c:v>
                </c:pt>
                <c:pt idx="13">
                  <c:v>23.545877999999998</c:v>
                </c:pt>
                <c:pt idx="14">
                  <c:v>22.937871000000001</c:v>
                </c:pt>
                <c:pt idx="15">
                  <c:v>22.454772000000006</c:v>
                </c:pt>
                <c:pt idx="16">
                  <c:v>23.430315</c:v>
                </c:pt>
                <c:pt idx="17">
                  <c:v>24.029630999999998</c:v>
                </c:pt>
                <c:pt idx="18">
                  <c:v>25.260031999999999</c:v>
                </c:pt>
                <c:pt idx="19">
                  <c:v>25.799374999999998</c:v>
                </c:pt>
                <c:pt idx="20">
                  <c:v>26.076250000000002</c:v>
                </c:pt>
                <c:pt idx="21">
                  <c:v>25.317173</c:v>
                </c:pt>
                <c:pt idx="22">
                  <c:v>26.058293000000003</c:v>
                </c:pt>
                <c:pt idx="23">
                  <c:v>26.853439999999999</c:v>
                </c:pt>
                <c:pt idx="24">
                  <c:v>28.129047999999997</c:v>
                </c:pt>
                <c:pt idx="25">
                  <c:v>28.672197999999998</c:v>
                </c:pt>
                <c:pt idx="26">
                  <c:v>30.566819000000002</c:v>
                </c:pt>
                <c:pt idx="27">
                  <c:v>31.930719999999997</c:v>
                </c:pt>
                <c:pt idx="28">
                  <c:v>33.966704999999997</c:v>
                </c:pt>
                <c:pt idx="29">
                  <c:v>35.437155000000004</c:v>
                </c:pt>
                <c:pt idx="30">
                  <c:v>36.388248000000004</c:v>
                </c:pt>
                <c:pt idx="31">
                  <c:v>36.125164999999996</c:v>
                </c:pt>
                <c:pt idx="32">
                  <c:v>36.594994</c:v>
                </c:pt>
                <c:pt idx="33">
                  <c:v>36.988620999999995</c:v>
                </c:pt>
                <c:pt idx="34">
                  <c:v>37.147009999999995</c:v>
                </c:pt>
                <c:pt idx="35">
                  <c:v>36.763165000000001</c:v>
                </c:pt>
                <c:pt idx="36">
                  <c:v>38.166260999999999</c:v>
                </c:pt>
                <c:pt idx="37">
                  <c:v>38.622948000000001</c:v>
                </c:pt>
                <c:pt idx="38">
                  <c:v>38.368296000000001</c:v>
                </c:pt>
                <c:pt idx="39">
                  <c:v>39.526817000000001</c:v>
                </c:pt>
                <c:pt idx="40">
                  <c:v>38.861722999999998</c:v>
                </c:pt>
                <c:pt idx="41">
                  <c:v>38.703992999999997</c:v>
                </c:pt>
                <c:pt idx="42">
                  <c:v>39.089509999999997</c:v>
                </c:pt>
                <c:pt idx="43">
                  <c:v>38.953930999999997</c:v>
                </c:pt>
                <c:pt idx="44">
                  <c:v>39.313852999999995</c:v>
                </c:pt>
                <c:pt idx="45">
                  <c:v>39.460628999999997</c:v>
                </c:pt>
                <c:pt idx="46">
                  <c:v>39.566151000000005</c:v>
                </c:pt>
                <c:pt idx="47">
                  <c:v>39.894621000000001</c:v>
                </c:pt>
                <c:pt idx="48">
                  <c:v>38.444199999999995</c:v>
                </c:pt>
                <c:pt idx="49">
                  <c:v>36.972299000000007</c:v>
                </c:pt>
                <c:pt idx="50">
                  <c:v>36.989152000000004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6F0-4EE0-ADAF-B5CC12E4BFD8}"/>
            </c:ext>
          </c:extLst>
        </c:ser>
        <c:ser>
          <c:idx val="3"/>
          <c:order val="3"/>
          <c:tx>
            <c:strRef>
              <c:f>'3a - road vehicle efficiencies'!#REF!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cat>
            <c:numRef>
              <c:f>'1_UK stats HDVs'!$D$112:$BB$112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'3a - road vehicle efficiencies'!#REF!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6F0-4EE0-ADAF-B5CC12E4BFD8}"/>
            </c:ext>
          </c:extLst>
        </c:ser>
        <c:ser>
          <c:idx val="4"/>
          <c:order val="4"/>
          <c:tx>
            <c:strRef>
              <c:f>'3a - road vehicle efficiencies'!#REF!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cat>
            <c:numRef>
              <c:f>'1_UK stats HDVs'!$D$112:$BB$112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'3a - road vehicle efficiencies'!#REF!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6F0-4EE0-ADAF-B5CC12E4BFD8}"/>
            </c:ext>
          </c:extLst>
        </c:ser>
        <c:ser>
          <c:idx val="5"/>
          <c:order val="5"/>
          <c:tx>
            <c:strRef>
              <c:f>'3a - road vehicle efficiencies'!#REF!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cat>
            <c:numRef>
              <c:f>'1_UK stats HDVs'!$D$112:$BB$112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'3a - road vehicle efficiencies'!#REF!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6F0-4EE0-ADAF-B5CC12E4BF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62861312"/>
        <c:axId val="362862848"/>
      </c:lineChart>
      <c:catAx>
        <c:axId val="3628613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362862848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36286284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Mtes</a:t>
                </a:r>
              </a:p>
            </c:rich>
          </c:tx>
          <c:overlay val="0"/>
        </c:title>
        <c:numFmt formatCode="#,##0.00" sourceLinked="1"/>
        <c:majorTickMark val="out"/>
        <c:minorTickMark val="none"/>
        <c:tickLblPos val="nextTo"/>
        <c:crossAx val="3628613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mileage (kms) 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HDVs'!$C$128</c:f>
              <c:strCache>
                <c:ptCount val="1"/>
                <c:pt idx="0">
                  <c:v>Cars and taxis</c:v>
                </c:pt>
              </c:strCache>
            </c:strRef>
          </c:tx>
          <c:marker>
            <c:symbol val="none"/>
          </c:marker>
          <c:cat>
            <c:numRef>
              <c:f>'1_UK stats HDVs'!$D$127:$BB$127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HDVs'!$D$128:$BB$128</c:f>
              <c:numCache>
                <c:formatCode>0.0</c:formatCode>
                <c:ptCount val="51"/>
                <c:pt idx="0">
                  <c:v>68.060699999999997</c:v>
                </c:pt>
                <c:pt idx="1">
                  <c:v>76.910199999999989</c:v>
                </c:pt>
                <c:pt idx="2">
                  <c:v>83.668000000000006</c:v>
                </c:pt>
                <c:pt idx="3">
                  <c:v>91.391199999999998</c:v>
                </c:pt>
                <c:pt idx="4">
                  <c:v>105.71130000000001</c:v>
                </c:pt>
                <c:pt idx="5">
                  <c:v>115.848</c:v>
                </c:pt>
                <c:pt idx="6">
                  <c:v>126.46739999999998</c:v>
                </c:pt>
                <c:pt idx="7">
                  <c:v>134.99510000000001</c:v>
                </c:pt>
                <c:pt idx="8">
                  <c:v>142.7183</c:v>
                </c:pt>
                <c:pt idx="9">
                  <c:v>147.86710000000002</c:v>
                </c:pt>
                <c:pt idx="10">
                  <c:v>154.94669999999999</c:v>
                </c:pt>
                <c:pt idx="11">
                  <c:v>165.08339999999998</c:v>
                </c:pt>
                <c:pt idx="12">
                  <c:v>174.73739999999998</c:v>
                </c:pt>
                <c:pt idx="13">
                  <c:v>183.90869999999998</c:v>
                </c:pt>
                <c:pt idx="14">
                  <c:v>179.8862</c:v>
                </c:pt>
                <c:pt idx="15">
                  <c:v>181.49519999999998</c:v>
                </c:pt>
                <c:pt idx="16">
                  <c:v>190.34469999999999</c:v>
                </c:pt>
                <c:pt idx="17">
                  <c:v>194.0454</c:v>
                </c:pt>
                <c:pt idx="18">
                  <c:v>202.41219999999998</c:v>
                </c:pt>
                <c:pt idx="19">
                  <c:v>201.4468</c:v>
                </c:pt>
                <c:pt idx="20">
                  <c:v>214.9624</c:v>
                </c:pt>
                <c:pt idx="21">
                  <c:v>219.4676</c:v>
                </c:pt>
                <c:pt idx="22">
                  <c:v>227.19079999999997</c:v>
                </c:pt>
                <c:pt idx="23">
                  <c:v>231.21329999999998</c:v>
                </c:pt>
                <c:pt idx="24">
                  <c:v>243.92439999999999</c:v>
                </c:pt>
                <c:pt idx="25">
                  <c:v>250.52129999999997</c:v>
                </c:pt>
                <c:pt idx="26">
                  <c:v>264.3587</c:v>
                </c:pt>
                <c:pt idx="27">
                  <c:v>284.47120000000001</c:v>
                </c:pt>
                <c:pt idx="28">
                  <c:v>305.38820000000004</c:v>
                </c:pt>
                <c:pt idx="29">
                  <c:v>331.29309999999998</c:v>
                </c:pt>
                <c:pt idx="30">
                  <c:v>335.79829999999998</c:v>
                </c:pt>
                <c:pt idx="31">
                  <c:v>335.15469999999999</c:v>
                </c:pt>
                <c:pt idx="32">
                  <c:v>337.89</c:v>
                </c:pt>
                <c:pt idx="33">
                  <c:v>338.05090000000001</c:v>
                </c:pt>
                <c:pt idx="34">
                  <c:v>344.96960000000001</c:v>
                </c:pt>
                <c:pt idx="35">
                  <c:v>351.0838</c:v>
                </c:pt>
                <c:pt idx="36">
                  <c:v>359.7724</c:v>
                </c:pt>
                <c:pt idx="37">
                  <c:v>365.72570000000002</c:v>
                </c:pt>
                <c:pt idx="38">
                  <c:v>370.55270000000002</c:v>
                </c:pt>
                <c:pt idx="39">
                  <c:v>377.31049999999999</c:v>
                </c:pt>
                <c:pt idx="40">
                  <c:v>376.02330000000001</c:v>
                </c:pt>
                <c:pt idx="41">
                  <c:v>381.1721</c:v>
                </c:pt>
                <c:pt idx="42">
                  <c:v>390.5043</c:v>
                </c:pt>
                <c:pt idx="43">
                  <c:v>389.86070000000001</c:v>
                </c:pt>
                <c:pt idx="44">
                  <c:v>394.20499999999998</c:v>
                </c:pt>
                <c:pt idx="45">
                  <c:v>392.596</c:v>
                </c:pt>
                <c:pt idx="46">
                  <c:v>397.26210000000003</c:v>
                </c:pt>
                <c:pt idx="47">
                  <c:v>397.90570000000002</c:v>
                </c:pt>
                <c:pt idx="48">
                  <c:v>394.84860000000003</c:v>
                </c:pt>
                <c:pt idx="49">
                  <c:v>393.88319999999999</c:v>
                </c:pt>
                <c:pt idx="50">
                  <c:v>389.21710000000002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76-471D-A9A0-1983FEBD53E2}"/>
            </c:ext>
          </c:extLst>
        </c:ser>
        <c:ser>
          <c:idx val="1"/>
          <c:order val="1"/>
          <c:tx>
            <c:strRef>
              <c:f>'1_UK stats HDVs'!$C$129</c:f>
              <c:strCache>
                <c:ptCount val="1"/>
                <c:pt idx="0">
                  <c:v>Light vans</c:v>
                </c:pt>
              </c:strCache>
            </c:strRef>
          </c:tx>
          <c:marker>
            <c:symbol val="none"/>
          </c:marker>
          <c:cat>
            <c:numRef>
              <c:f>'1_UK stats HDVs'!$D$127:$BB$127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HDVs'!$D$129:$BB$129</c:f>
              <c:numCache>
                <c:formatCode>0.0</c:formatCode>
                <c:ptCount val="51"/>
                <c:pt idx="0">
                  <c:v>14.963700000000001</c:v>
                </c:pt>
                <c:pt idx="1">
                  <c:v>16.411799999999999</c:v>
                </c:pt>
                <c:pt idx="2">
                  <c:v>16.572700000000001</c:v>
                </c:pt>
                <c:pt idx="3">
                  <c:v>17.5381</c:v>
                </c:pt>
                <c:pt idx="4">
                  <c:v>17.698999999999998</c:v>
                </c:pt>
                <c:pt idx="5">
                  <c:v>18.9862</c:v>
                </c:pt>
                <c:pt idx="6">
                  <c:v>18.9862</c:v>
                </c:pt>
                <c:pt idx="7">
                  <c:v>18.664400000000001</c:v>
                </c:pt>
                <c:pt idx="8">
                  <c:v>18.825299999999999</c:v>
                </c:pt>
                <c:pt idx="9">
                  <c:v>19.308</c:v>
                </c:pt>
                <c:pt idx="10">
                  <c:v>20.273399999999999</c:v>
                </c:pt>
                <c:pt idx="11">
                  <c:v>21.238799999999998</c:v>
                </c:pt>
                <c:pt idx="12">
                  <c:v>22.2042</c:v>
                </c:pt>
                <c:pt idx="13">
                  <c:v>23.330500000000001</c:v>
                </c:pt>
                <c:pt idx="14">
                  <c:v>23.6523</c:v>
                </c:pt>
                <c:pt idx="15">
                  <c:v>23.491399999999999</c:v>
                </c:pt>
                <c:pt idx="16">
                  <c:v>24.134999999999998</c:v>
                </c:pt>
                <c:pt idx="17">
                  <c:v>24.456799999999998</c:v>
                </c:pt>
                <c:pt idx="18">
                  <c:v>25.261299999999999</c:v>
                </c:pt>
                <c:pt idx="19">
                  <c:v>25.1004</c:v>
                </c:pt>
                <c:pt idx="20">
                  <c:v>26.065799999999999</c:v>
                </c:pt>
                <c:pt idx="21">
                  <c:v>26.226700000000001</c:v>
                </c:pt>
                <c:pt idx="22">
                  <c:v>26.065799999999999</c:v>
                </c:pt>
                <c:pt idx="23">
                  <c:v>26.065799999999999</c:v>
                </c:pt>
                <c:pt idx="24">
                  <c:v>27.513900000000003</c:v>
                </c:pt>
                <c:pt idx="25">
                  <c:v>28.6402</c:v>
                </c:pt>
                <c:pt idx="26">
                  <c:v>29.927400000000002</c:v>
                </c:pt>
                <c:pt idx="27">
                  <c:v>32.662700000000001</c:v>
                </c:pt>
                <c:pt idx="28">
                  <c:v>36.202500000000001</c:v>
                </c:pt>
                <c:pt idx="29">
                  <c:v>39.7423</c:v>
                </c:pt>
                <c:pt idx="30">
                  <c:v>39.903199999999998</c:v>
                </c:pt>
                <c:pt idx="31">
                  <c:v>41.673099999999998</c:v>
                </c:pt>
                <c:pt idx="32">
                  <c:v>41.190400000000004</c:v>
                </c:pt>
                <c:pt idx="33">
                  <c:v>41.5122</c:v>
                </c:pt>
                <c:pt idx="34">
                  <c:v>43.2821</c:v>
                </c:pt>
                <c:pt idx="35">
                  <c:v>44.569299999999998</c:v>
                </c:pt>
                <c:pt idx="36">
                  <c:v>46.1783</c:v>
                </c:pt>
                <c:pt idx="37">
                  <c:v>48.591799999999999</c:v>
                </c:pt>
                <c:pt idx="38">
                  <c:v>50.8444</c:v>
                </c:pt>
                <c:pt idx="39">
                  <c:v>51.648900000000005</c:v>
                </c:pt>
                <c:pt idx="40">
                  <c:v>52.131599999999999</c:v>
                </c:pt>
                <c:pt idx="41">
                  <c:v>53.418800000000005</c:v>
                </c:pt>
                <c:pt idx="42">
                  <c:v>54.706000000000003</c:v>
                </c:pt>
                <c:pt idx="43">
                  <c:v>57.441300000000005</c:v>
                </c:pt>
                <c:pt idx="44">
                  <c:v>60.176600000000001</c:v>
                </c:pt>
                <c:pt idx="45">
                  <c:v>61.785599999999995</c:v>
                </c:pt>
                <c:pt idx="46">
                  <c:v>64.199100000000001</c:v>
                </c:pt>
                <c:pt idx="47">
                  <c:v>67.417099999999991</c:v>
                </c:pt>
                <c:pt idx="48">
                  <c:v>66.934399999999997</c:v>
                </c:pt>
                <c:pt idx="49">
                  <c:v>65.4863</c:v>
                </c:pt>
                <c:pt idx="50">
                  <c:v>66.6126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76-471D-A9A0-1983FEBD53E2}"/>
            </c:ext>
          </c:extLst>
        </c:ser>
        <c:ser>
          <c:idx val="2"/>
          <c:order val="2"/>
          <c:tx>
            <c:strRef>
              <c:f>'1_UK stats HDVs'!$C$130</c:f>
              <c:strCache>
                <c:ptCount val="1"/>
                <c:pt idx="0">
                  <c:v>Goods vehicles</c:v>
                </c:pt>
              </c:strCache>
            </c:strRef>
          </c:tx>
          <c:marker>
            <c:symbol val="none"/>
          </c:marker>
          <c:cat>
            <c:numRef>
              <c:f>'1_UK stats HDVs'!$D$127:$BB$127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HDVs'!$D$130:$BB$130</c:f>
              <c:numCache>
                <c:formatCode>0.0</c:formatCode>
                <c:ptCount val="51"/>
                <c:pt idx="0">
                  <c:v>15.285499999999999</c:v>
                </c:pt>
                <c:pt idx="1">
                  <c:v>15.446399999999999</c:v>
                </c:pt>
                <c:pt idx="2">
                  <c:v>15.446399999999999</c:v>
                </c:pt>
                <c:pt idx="3">
                  <c:v>15.7682</c:v>
                </c:pt>
                <c:pt idx="4">
                  <c:v>17.377200000000002</c:v>
                </c:pt>
                <c:pt idx="5">
                  <c:v>17.2163</c:v>
                </c:pt>
                <c:pt idx="6">
                  <c:v>17.5381</c:v>
                </c:pt>
                <c:pt idx="7">
                  <c:v>17.2163</c:v>
                </c:pt>
                <c:pt idx="8">
                  <c:v>17.5381</c:v>
                </c:pt>
                <c:pt idx="9">
                  <c:v>17.377200000000002</c:v>
                </c:pt>
                <c:pt idx="10">
                  <c:v>17.5381</c:v>
                </c:pt>
                <c:pt idx="11">
                  <c:v>18.020799999999998</c:v>
                </c:pt>
                <c:pt idx="12">
                  <c:v>18.342600000000001</c:v>
                </c:pt>
                <c:pt idx="13">
                  <c:v>19.308</c:v>
                </c:pt>
                <c:pt idx="14">
                  <c:v>18.664400000000001</c:v>
                </c:pt>
                <c:pt idx="15">
                  <c:v>18.342600000000001</c:v>
                </c:pt>
                <c:pt idx="16">
                  <c:v>19.147100000000002</c:v>
                </c:pt>
                <c:pt idx="17">
                  <c:v>18.825299999999999</c:v>
                </c:pt>
                <c:pt idx="18">
                  <c:v>19.468899999999998</c:v>
                </c:pt>
                <c:pt idx="19">
                  <c:v>19.629799999999999</c:v>
                </c:pt>
                <c:pt idx="20">
                  <c:v>19.629799999999999</c:v>
                </c:pt>
                <c:pt idx="21">
                  <c:v>18.825299999999999</c:v>
                </c:pt>
                <c:pt idx="22">
                  <c:v>18.342600000000001</c:v>
                </c:pt>
                <c:pt idx="23">
                  <c:v>18.825299999999999</c:v>
                </c:pt>
                <c:pt idx="24">
                  <c:v>19.629799999999999</c:v>
                </c:pt>
                <c:pt idx="25">
                  <c:v>19.629799999999999</c:v>
                </c:pt>
                <c:pt idx="26">
                  <c:v>20.112500000000001</c:v>
                </c:pt>
                <c:pt idx="27">
                  <c:v>22.365100000000002</c:v>
                </c:pt>
                <c:pt idx="28">
                  <c:v>23.813200000000002</c:v>
                </c:pt>
                <c:pt idx="29">
                  <c:v>25.4222</c:v>
                </c:pt>
                <c:pt idx="30">
                  <c:v>24.939499999999999</c:v>
                </c:pt>
                <c:pt idx="31">
                  <c:v>24.456799999999998</c:v>
                </c:pt>
                <c:pt idx="32">
                  <c:v>23.813200000000002</c:v>
                </c:pt>
                <c:pt idx="33">
                  <c:v>24.2959</c:v>
                </c:pt>
                <c:pt idx="34">
                  <c:v>24.778600000000001</c:v>
                </c:pt>
                <c:pt idx="35">
                  <c:v>25.4222</c:v>
                </c:pt>
                <c:pt idx="36">
                  <c:v>26.226700000000001</c:v>
                </c:pt>
                <c:pt idx="37">
                  <c:v>26.8703</c:v>
                </c:pt>
                <c:pt idx="38">
                  <c:v>27.674799999999998</c:v>
                </c:pt>
                <c:pt idx="39">
                  <c:v>28.157499999999999</c:v>
                </c:pt>
                <c:pt idx="40">
                  <c:v>28.157499999999999</c:v>
                </c:pt>
                <c:pt idx="41">
                  <c:v>27.996599999999997</c:v>
                </c:pt>
                <c:pt idx="42">
                  <c:v>28.3184</c:v>
                </c:pt>
                <c:pt idx="43">
                  <c:v>28.479299999999999</c:v>
                </c:pt>
                <c:pt idx="44">
                  <c:v>29.283799999999999</c:v>
                </c:pt>
                <c:pt idx="45">
                  <c:v>28.962</c:v>
                </c:pt>
                <c:pt idx="46">
                  <c:v>28.962</c:v>
                </c:pt>
                <c:pt idx="47">
                  <c:v>29.283799999999999</c:v>
                </c:pt>
                <c:pt idx="48">
                  <c:v>28.6402</c:v>
                </c:pt>
                <c:pt idx="49">
                  <c:v>26.226700000000001</c:v>
                </c:pt>
                <c:pt idx="50">
                  <c:v>26.387599999999999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76-471D-A9A0-1983FEBD53E2}"/>
            </c:ext>
          </c:extLst>
        </c:ser>
        <c:ser>
          <c:idx val="3"/>
          <c:order val="3"/>
          <c:tx>
            <c:strRef>
              <c:f>'1_UK stats HDVs'!$C$131</c:f>
              <c:strCache>
                <c:ptCount val="1"/>
                <c:pt idx="0">
                  <c:v>Motorcycles</c:v>
                </c:pt>
              </c:strCache>
            </c:strRef>
          </c:tx>
          <c:marker>
            <c:symbol val="none"/>
          </c:marker>
          <c:cat>
            <c:numRef>
              <c:f>'1_UK stats HDVs'!$D$127:$BB$127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HDVs'!$D$131:$BB$131</c:f>
              <c:numCache>
                <c:formatCode>0.0</c:formatCode>
                <c:ptCount val="51"/>
                <c:pt idx="0">
                  <c:v>9.9757999999999996</c:v>
                </c:pt>
                <c:pt idx="1">
                  <c:v>9.6539999999999999</c:v>
                </c:pt>
                <c:pt idx="2">
                  <c:v>8.688600000000001</c:v>
                </c:pt>
                <c:pt idx="3">
                  <c:v>7.5623000000000005</c:v>
                </c:pt>
                <c:pt idx="4">
                  <c:v>7.5623000000000005</c:v>
                </c:pt>
                <c:pt idx="5">
                  <c:v>6.7578000000000005</c:v>
                </c:pt>
                <c:pt idx="6">
                  <c:v>5.9533000000000005</c:v>
                </c:pt>
                <c:pt idx="7">
                  <c:v>5.1488000000000005</c:v>
                </c:pt>
                <c:pt idx="8">
                  <c:v>4.6661000000000001</c:v>
                </c:pt>
                <c:pt idx="9">
                  <c:v>4.1833999999999998</c:v>
                </c:pt>
                <c:pt idx="10">
                  <c:v>4.0225</c:v>
                </c:pt>
                <c:pt idx="11">
                  <c:v>3.8615999999999997</c:v>
                </c:pt>
                <c:pt idx="12">
                  <c:v>3.7006999999999999</c:v>
                </c:pt>
                <c:pt idx="13">
                  <c:v>3.8615999999999997</c:v>
                </c:pt>
                <c:pt idx="14">
                  <c:v>4.1833999999999998</c:v>
                </c:pt>
                <c:pt idx="15">
                  <c:v>5.1488000000000005</c:v>
                </c:pt>
                <c:pt idx="16">
                  <c:v>6.2751000000000001</c:v>
                </c:pt>
                <c:pt idx="17">
                  <c:v>6.2751000000000001</c:v>
                </c:pt>
                <c:pt idx="18">
                  <c:v>6.1141999999999994</c:v>
                </c:pt>
                <c:pt idx="19">
                  <c:v>6.4359999999999999</c:v>
                </c:pt>
                <c:pt idx="20">
                  <c:v>7.7231999999999994</c:v>
                </c:pt>
                <c:pt idx="21">
                  <c:v>8.849499999999999</c:v>
                </c:pt>
                <c:pt idx="22">
                  <c:v>9.1713000000000005</c:v>
                </c:pt>
                <c:pt idx="23">
                  <c:v>8.3667999999999996</c:v>
                </c:pt>
                <c:pt idx="24">
                  <c:v>8.0449999999999999</c:v>
                </c:pt>
                <c:pt idx="25">
                  <c:v>7.4013999999999998</c:v>
                </c:pt>
                <c:pt idx="26">
                  <c:v>7.0796000000000001</c:v>
                </c:pt>
                <c:pt idx="27">
                  <c:v>6.7578000000000005</c:v>
                </c:pt>
                <c:pt idx="28">
                  <c:v>5.9533000000000005</c:v>
                </c:pt>
                <c:pt idx="29">
                  <c:v>5.9533000000000005</c:v>
                </c:pt>
                <c:pt idx="30">
                  <c:v>5.6315</c:v>
                </c:pt>
                <c:pt idx="31">
                  <c:v>5.4706000000000001</c:v>
                </c:pt>
                <c:pt idx="32">
                  <c:v>4.5051999999999994</c:v>
                </c:pt>
                <c:pt idx="33">
                  <c:v>3.7006999999999999</c:v>
                </c:pt>
                <c:pt idx="34">
                  <c:v>3.7006999999999999</c:v>
                </c:pt>
                <c:pt idx="35">
                  <c:v>3.7006999999999999</c:v>
                </c:pt>
                <c:pt idx="36">
                  <c:v>3.7006999999999999</c:v>
                </c:pt>
                <c:pt idx="37">
                  <c:v>4.0225</c:v>
                </c:pt>
                <c:pt idx="38">
                  <c:v>4.1833999999999998</c:v>
                </c:pt>
                <c:pt idx="39">
                  <c:v>4.5051999999999994</c:v>
                </c:pt>
                <c:pt idx="40">
                  <c:v>4.5051999999999994</c:v>
                </c:pt>
                <c:pt idx="41">
                  <c:v>4.827</c:v>
                </c:pt>
                <c:pt idx="42">
                  <c:v>4.9878999999999998</c:v>
                </c:pt>
                <c:pt idx="43">
                  <c:v>5.4706000000000001</c:v>
                </c:pt>
                <c:pt idx="44">
                  <c:v>5.1488000000000005</c:v>
                </c:pt>
                <c:pt idx="45">
                  <c:v>5.3096999999999994</c:v>
                </c:pt>
                <c:pt idx="46">
                  <c:v>5.1488000000000005</c:v>
                </c:pt>
                <c:pt idx="47">
                  <c:v>5.4706000000000001</c:v>
                </c:pt>
                <c:pt idx="48">
                  <c:v>4.9878999999999998</c:v>
                </c:pt>
                <c:pt idx="49">
                  <c:v>5.1488000000000005</c:v>
                </c:pt>
                <c:pt idx="50">
                  <c:v>4.6661000000000001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176-471D-A9A0-1983FEBD53E2}"/>
            </c:ext>
          </c:extLst>
        </c:ser>
        <c:ser>
          <c:idx val="4"/>
          <c:order val="4"/>
          <c:tx>
            <c:strRef>
              <c:f>'1_UK stats HDVs'!$C$132</c:f>
              <c:strCache>
                <c:ptCount val="1"/>
                <c:pt idx="0">
                  <c:v>Buses &amp; Coaches</c:v>
                </c:pt>
              </c:strCache>
            </c:strRef>
          </c:tx>
          <c:marker>
            <c:symbol val="none"/>
          </c:marker>
          <c:cat>
            <c:numRef>
              <c:f>'1_UK stats HDVs'!$D$127:$BB$127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HDVs'!$D$132:$BB$132</c:f>
              <c:numCache>
                <c:formatCode>0.0</c:formatCode>
                <c:ptCount val="51"/>
                <c:pt idx="0">
                  <c:v>3.8615999999999997</c:v>
                </c:pt>
                <c:pt idx="1">
                  <c:v>4.0225</c:v>
                </c:pt>
                <c:pt idx="2">
                  <c:v>4.0225</c:v>
                </c:pt>
                <c:pt idx="3">
                  <c:v>4.0225</c:v>
                </c:pt>
                <c:pt idx="4">
                  <c:v>4.0225</c:v>
                </c:pt>
                <c:pt idx="5">
                  <c:v>3.8615999999999997</c:v>
                </c:pt>
                <c:pt idx="6">
                  <c:v>3.8615999999999997</c:v>
                </c:pt>
                <c:pt idx="7">
                  <c:v>3.8615999999999997</c:v>
                </c:pt>
                <c:pt idx="8">
                  <c:v>3.8615999999999997</c:v>
                </c:pt>
                <c:pt idx="9">
                  <c:v>3.8615999999999997</c:v>
                </c:pt>
                <c:pt idx="10">
                  <c:v>3.5398000000000001</c:v>
                </c:pt>
                <c:pt idx="11">
                  <c:v>3.5398000000000001</c:v>
                </c:pt>
                <c:pt idx="12">
                  <c:v>3.5398000000000001</c:v>
                </c:pt>
                <c:pt idx="13">
                  <c:v>3.5398000000000001</c:v>
                </c:pt>
                <c:pt idx="14">
                  <c:v>3.3789000000000002</c:v>
                </c:pt>
                <c:pt idx="15">
                  <c:v>3.218</c:v>
                </c:pt>
                <c:pt idx="16">
                  <c:v>3.3789000000000002</c:v>
                </c:pt>
                <c:pt idx="17">
                  <c:v>3.218</c:v>
                </c:pt>
                <c:pt idx="18">
                  <c:v>3.3789000000000002</c:v>
                </c:pt>
                <c:pt idx="19">
                  <c:v>3.3789000000000002</c:v>
                </c:pt>
                <c:pt idx="20">
                  <c:v>3.5398000000000001</c:v>
                </c:pt>
                <c:pt idx="21">
                  <c:v>3.5398000000000001</c:v>
                </c:pt>
                <c:pt idx="22">
                  <c:v>3.5398000000000001</c:v>
                </c:pt>
                <c:pt idx="23">
                  <c:v>3.7006999999999999</c:v>
                </c:pt>
                <c:pt idx="24">
                  <c:v>3.8615999999999997</c:v>
                </c:pt>
                <c:pt idx="25">
                  <c:v>3.7006999999999999</c:v>
                </c:pt>
                <c:pt idx="26">
                  <c:v>3.7006999999999999</c:v>
                </c:pt>
                <c:pt idx="27">
                  <c:v>4.0225</c:v>
                </c:pt>
                <c:pt idx="28">
                  <c:v>4.3443000000000005</c:v>
                </c:pt>
                <c:pt idx="29">
                  <c:v>4.5051999999999994</c:v>
                </c:pt>
                <c:pt idx="30">
                  <c:v>4.6661000000000001</c:v>
                </c:pt>
                <c:pt idx="31">
                  <c:v>4.827</c:v>
                </c:pt>
                <c:pt idx="32">
                  <c:v>4.6661000000000001</c:v>
                </c:pt>
                <c:pt idx="33">
                  <c:v>4.6661000000000001</c:v>
                </c:pt>
                <c:pt idx="34">
                  <c:v>4.6661000000000001</c:v>
                </c:pt>
                <c:pt idx="35">
                  <c:v>4.827</c:v>
                </c:pt>
                <c:pt idx="36">
                  <c:v>4.9878999999999998</c:v>
                </c:pt>
                <c:pt idx="37">
                  <c:v>5.1488000000000005</c:v>
                </c:pt>
                <c:pt idx="38">
                  <c:v>5.3096999999999994</c:v>
                </c:pt>
                <c:pt idx="39">
                  <c:v>5.3096999999999994</c:v>
                </c:pt>
                <c:pt idx="40">
                  <c:v>5.1488000000000005</c:v>
                </c:pt>
                <c:pt idx="41">
                  <c:v>5.1488000000000005</c:v>
                </c:pt>
                <c:pt idx="42">
                  <c:v>5.1488000000000005</c:v>
                </c:pt>
                <c:pt idx="43">
                  <c:v>5.3096999999999994</c:v>
                </c:pt>
                <c:pt idx="44">
                  <c:v>5.1488000000000005</c:v>
                </c:pt>
                <c:pt idx="45">
                  <c:v>5.1488000000000005</c:v>
                </c:pt>
                <c:pt idx="46">
                  <c:v>5.3096999999999994</c:v>
                </c:pt>
                <c:pt idx="47">
                  <c:v>5.4706000000000001</c:v>
                </c:pt>
                <c:pt idx="48">
                  <c:v>4.9878999999999998</c:v>
                </c:pt>
                <c:pt idx="49">
                  <c:v>4.9878999999999998</c:v>
                </c:pt>
                <c:pt idx="50">
                  <c:v>5.1488000000000005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176-471D-A9A0-1983FEBD53E2}"/>
            </c:ext>
          </c:extLst>
        </c:ser>
        <c:ser>
          <c:idx val="5"/>
          <c:order val="5"/>
          <c:tx>
            <c:strRef>
              <c:f>'1_UK stats HDVs'!$C$133</c:f>
              <c:strCache>
                <c:ptCount val="1"/>
                <c:pt idx="0">
                  <c:v>Total</c:v>
                </c:pt>
              </c:strCache>
            </c:strRef>
          </c:tx>
          <c:marker>
            <c:symbol val="none"/>
          </c:marker>
          <c:cat>
            <c:numRef>
              <c:f>'1_UK stats HDVs'!$D$127:$BB$127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HDVs'!$D$133:$BB$133</c:f>
              <c:numCache>
                <c:formatCode>0.0</c:formatCode>
                <c:ptCount val="51"/>
                <c:pt idx="0">
                  <c:v>112.14729999999999</c:v>
                </c:pt>
                <c:pt idx="1">
                  <c:v>122.44489999999998</c:v>
                </c:pt>
                <c:pt idx="2">
                  <c:v>128.3982</c:v>
                </c:pt>
                <c:pt idx="3">
                  <c:v>136.28229999999999</c:v>
                </c:pt>
                <c:pt idx="4">
                  <c:v>152.37230000000002</c:v>
                </c:pt>
                <c:pt idx="5">
                  <c:v>162.66990000000001</c:v>
                </c:pt>
                <c:pt idx="6">
                  <c:v>172.8066</c:v>
                </c:pt>
                <c:pt idx="7">
                  <c:v>179.8862</c:v>
                </c:pt>
                <c:pt idx="8">
                  <c:v>187.60940000000002</c:v>
                </c:pt>
                <c:pt idx="9">
                  <c:v>192.59730000000002</c:v>
                </c:pt>
                <c:pt idx="10">
                  <c:v>200.32050000000001</c:v>
                </c:pt>
                <c:pt idx="11">
                  <c:v>211.74440000000001</c:v>
                </c:pt>
                <c:pt idx="12">
                  <c:v>222.52470000000002</c:v>
                </c:pt>
                <c:pt idx="13">
                  <c:v>233.9486</c:v>
                </c:pt>
                <c:pt idx="14">
                  <c:v>229.76519999999999</c:v>
                </c:pt>
                <c:pt idx="15">
                  <c:v>231.69599999999997</c:v>
                </c:pt>
                <c:pt idx="16">
                  <c:v>243.28079999999997</c:v>
                </c:pt>
                <c:pt idx="17">
                  <c:v>246.82059999999998</c:v>
                </c:pt>
                <c:pt idx="18">
                  <c:v>256.63549999999998</c:v>
                </c:pt>
                <c:pt idx="19">
                  <c:v>255.99189999999999</c:v>
                </c:pt>
                <c:pt idx="20">
                  <c:v>271.92100000000005</c:v>
                </c:pt>
                <c:pt idx="21">
                  <c:v>276.90889999999996</c:v>
                </c:pt>
                <c:pt idx="22">
                  <c:v>284.31029999999993</c:v>
                </c:pt>
                <c:pt idx="23">
                  <c:v>288.17189999999994</c:v>
                </c:pt>
                <c:pt idx="24">
                  <c:v>302.97469999999998</c:v>
                </c:pt>
                <c:pt idx="25">
                  <c:v>309.89339999999999</c:v>
                </c:pt>
                <c:pt idx="26">
                  <c:v>325.1789</c:v>
                </c:pt>
                <c:pt idx="27">
                  <c:v>350.27929999999998</c:v>
                </c:pt>
                <c:pt idx="28">
                  <c:v>375.70150000000001</c:v>
                </c:pt>
                <c:pt idx="29">
                  <c:v>406.91609999999997</c:v>
                </c:pt>
                <c:pt idx="30">
                  <c:v>410.93860000000006</c:v>
                </c:pt>
                <c:pt idx="31">
                  <c:v>411.58219999999994</c:v>
                </c:pt>
                <c:pt idx="32">
                  <c:v>412.06489999999997</c:v>
                </c:pt>
                <c:pt idx="33">
                  <c:v>412.22580000000005</c:v>
                </c:pt>
                <c:pt idx="34">
                  <c:v>421.39710000000002</c:v>
                </c:pt>
                <c:pt idx="35">
                  <c:v>429.60299999999995</c:v>
                </c:pt>
                <c:pt idx="36">
                  <c:v>440.86599999999999</c:v>
                </c:pt>
                <c:pt idx="37">
                  <c:v>450.35909999999996</c:v>
                </c:pt>
                <c:pt idx="38">
                  <c:v>458.56500000000005</c:v>
                </c:pt>
                <c:pt idx="39">
                  <c:v>466.93180000000001</c:v>
                </c:pt>
                <c:pt idx="40">
                  <c:v>465.96640000000002</c:v>
                </c:pt>
                <c:pt idx="41">
                  <c:v>472.56330000000003</c:v>
                </c:pt>
                <c:pt idx="42">
                  <c:v>483.66540000000003</c:v>
                </c:pt>
                <c:pt idx="43">
                  <c:v>486.56160000000006</c:v>
                </c:pt>
                <c:pt idx="44">
                  <c:v>493.96299999999997</c:v>
                </c:pt>
                <c:pt idx="45">
                  <c:v>493.8021</c:v>
                </c:pt>
                <c:pt idx="46">
                  <c:v>500.88170000000002</c:v>
                </c:pt>
                <c:pt idx="47">
                  <c:v>505.5478</c:v>
                </c:pt>
                <c:pt idx="48">
                  <c:v>500.39900000000006</c:v>
                </c:pt>
                <c:pt idx="49">
                  <c:v>495.73290000000003</c:v>
                </c:pt>
                <c:pt idx="50">
                  <c:v>492.03220000000005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176-471D-A9A0-1983FEBD53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94799744"/>
        <c:axId val="394817920"/>
      </c:lineChart>
      <c:catAx>
        <c:axId val="3947997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394817920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39481792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Billion kms</a:t>
                </a:r>
              </a:p>
            </c:rich>
          </c:tx>
          <c:overlay val="0"/>
        </c:title>
        <c:numFmt formatCode="0.0" sourceLinked="1"/>
        <c:majorTickMark val="out"/>
        <c:minorTickMark val="none"/>
        <c:tickLblPos val="nextTo"/>
        <c:crossAx val="3947997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vehicle fuel economy </a:t>
            </a:r>
            <a:r>
              <a:rPr lang="en-GB" baseline="0"/>
              <a:t>by mode</a:t>
            </a:r>
            <a:endParaRPr lang="en-GB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HDVs'!$C$187</c:f>
              <c:strCache>
                <c:ptCount val="1"/>
                <c:pt idx="0">
                  <c:v>Cars &amp; Taxis - 1000kms/toe </c:v>
                </c:pt>
              </c:strCache>
            </c:strRef>
          </c:tx>
          <c:marker>
            <c:symbol val="none"/>
          </c:marker>
          <c:cat>
            <c:numRef>
              <c:f>'1_UK stats HDVs'!$N$127:$BA$127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HDVs'!$N$187:$BA$187</c:f>
              <c:numCache>
                <c:formatCode>0.00</c:formatCode>
                <c:ptCount val="40"/>
                <c:pt idx="0">
                  <c:v>12.770413360504575</c:v>
                </c:pt>
                <c:pt idx="1">
                  <c:v>12.863475571154616</c:v>
                </c:pt>
                <c:pt idx="2">
                  <c:v>12.735749950073343</c:v>
                </c:pt>
                <c:pt idx="3">
                  <c:v>12.561890427852854</c:v>
                </c:pt>
                <c:pt idx="4">
                  <c:v>12.688918224304851</c:v>
                </c:pt>
                <c:pt idx="5">
                  <c:v>13.085171954368173</c:v>
                </c:pt>
                <c:pt idx="6">
                  <c:v>13.110514051282163</c:v>
                </c:pt>
                <c:pt idx="7">
                  <c:v>12.972036883890848</c:v>
                </c:pt>
                <c:pt idx="8">
                  <c:v>12.728653882461597</c:v>
                </c:pt>
                <c:pt idx="9">
                  <c:v>12.431972770092653</c:v>
                </c:pt>
                <c:pt idx="10">
                  <c:v>12.911782130297878</c:v>
                </c:pt>
                <c:pt idx="11">
                  <c:v>13.48778520867859</c:v>
                </c:pt>
                <c:pt idx="12">
                  <c:v>13.504481253994898</c:v>
                </c:pt>
                <c:pt idx="13">
                  <c:v>13.45293504346118</c:v>
                </c:pt>
                <c:pt idx="14">
                  <c:v>13.710913773674353</c:v>
                </c:pt>
                <c:pt idx="15">
                  <c:v>13.920905230807538</c:v>
                </c:pt>
                <c:pt idx="16">
                  <c:v>13.919287663262216</c:v>
                </c:pt>
                <c:pt idx="17">
                  <c:v>14.423534571149501</c:v>
                </c:pt>
                <c:pt idx="18">
                  <c:v>14.692307256892025</c:v>
                </c:pt>
                <c:pt idx="19">
                  <c:v>15.475574706656293</c:v>
                </c:pt>
                <c:pt idx="20">
                  <c:v>14.924070678916152</c:v>
                </c:pt>
                <c:pt idx="21">
                  <c:v>14.946436779767327</c:v>
                </c:pt>
                <c:pt idx="22">
                  <c:v>14.745053269976687</c:v>
                </c:pt>
                <c:pt idx="23">
                  <c:v>14.584212895945685</c:v>
                </c:pt>
                <c:pt idx="24">
                  <c:v>15.025058971915756</c:v>
                </c:pt>
                <c:pt idx="25">
                  <c:v>15.483070241465436</c:v>
                </c:pt>
                <c:pt idx="26">
                  <c:v>15.230952037287661</c:v>
                </c:pt>
                <c:pt idx="27">
                  <c:v>15.329990144489351</c:v>
                </c:pt>
                <c:pt idx="28">
                  <c:v>15.672148458417229</c:v>
                </c:pt>
                <c:pt idx="29">
                  <c:v>15.65514115313071</c:v>
                </c:pt>
                <c:pt idx="30">
                  <c:v>15.64445261082828</c:v>
                </c:pt>
                <c:pt idx="31">
                  <c:v>15.863755196216916</c:v>
                </c:pt>
                <c:pt idx="32">
                  <c:v>15.918146654657487</c:v>
                </c:pt>
                <c:pt idx="33">
                  <c:v>16.137299336197234</c:v>
                </c:pt>
                <c:pt idx="34">
                  <c:v>16.214523512519648</c:v>
                </c:pt>
                <c:pt idx="35">
                  <c:v>16.136761748749077</c:v>
                </c:pt>
                <c:pt idx="36">
                  <c:v>16.425597829510071</c:v>
                </c:pt>
                <c:pt idx="37">
                  <c:v>16.388827320333299</c:v>
                </c:pt>
                <c:pt idx="38">
                  <c:v>16.725477583037655</c:v>
                </c:pt>
                <c:pt idx="39">
                  <c:v>17.19543624094316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8CB-4517-B01F-47144C1C3E2C}"/>
            </c:ext>
          </c:extLst>
        </c:ser>
        <c:ser>
          <c:idx val="1"/>
          <c:order val="1"/>
          <c:tx>
            <c:strRef>
              <c:f>'1_UK stats HDVs'!$C$199</c:f>
              <c:strCache>
                <c:ptCount val="1"/>
                <c:pt idx="0">
                  <c:v>Light vans - 1000kms/toe </c:v>
                </c:pt>
              </c:strCache>
            </c:strRef>
          </c:tx>
          <c:marker>
            <c:symbol val="none"/>
          </c:marker>
          <c:cat>
            <c:numRef>
              <c:f>'1_UK stats HDVs'!$N$127:$BA$127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HDVs'!$N$199:$BA$199</c:f>
              <c:numCache>
                <c:formatCode>0.00</c:formatCode>
                <c:ptCount val="40"/>
                <c:pt idx="0">
                  <c:v>9.9588011426233987</c:v>
                </c:pt>
                <c:pt idx="1">
                  <c:v>10.116619000132593</c:v>
                </c:pt>
                <c:pt idx="2">
                  <c:v>10.160604085448682</c:v>
                </c:pt>
                <c:pt idx="3">
                  <c:v>10.089181137939953</c:v>
                </c:pt>
                <c:pt idx="4">
                  <c:v>10.16794982880371</c:v>
                </c:pt>
                <c:pt idx="5">
                  <c:v>10.498944375788678</c:v>
                </c:pt>
                <c:pt idx="6">
                  <c:v>10.573075824797826</c:v>
                </c:pt>
                <c:pt idx="7">
                  <c:v>10.476904711252567</c:v>
                </c:pt>
                <c:pt idx="8">
                  <c:v>10.450238672254052</c:v>
                </c:pt>
                <c:pt idx="9">
                  <c:v>10.268451501964396</c:v>
                </c:pt>
                <c:pt idx="10">
                  <c:v>10.734158513862551</c:v>
                </c:pt>
                <c:pt idx="11">
                  <c:v>11.181481666865068</c:v>
                </c:pt>
                <c:pt idx="12">
                  <c:v>11.137770665451541</c:v>
                </c:pt>
                <c:pt idx="13">
                  <c:v>11.040277678494256</c:v>
                </c:pt>
                <c:pt idx="14">
                  <c:v>11.082838741376978</c:v>
                </c:pt>
                <c:pt idx="15">
                  <c:v>11.280506630897554</c:v>
                </c:pt>
                <c:pt idx="16">
                  <c:v>11.02824288735524</c:v>
                </c:pt>
                <c:pt idx="17">
                  <c:v>11.404804294005704</c:v>
                </c:pt>
                <c:pt idx="18">
                  <c:v>11.567964208419065</c:v>
                </c:pt>
                <c:pt idx="19">
                  <c:v>10.460097294445267</c:v>
                </c:pt>
                <c:pt idx="20">
                  <c:v>10.931028462995789</c:v>
                </c:pt>
                <c:pt idx="21">
                  <c:v>11.0392703338541</c:v>
                </c:pt>
                <c:pt idx="22">
                  <c:v>10.785913397330875</c:v>
                </c:pt>
                <c:pt idx="23">
                  <c:v>10.684561580309968</c:v>
                </c:pt>
                <c:pt idx="24">
                  <c:v>10.681685171652722</c:v>
                </c:pt>
                <c:pt idx="25">
                  <c:v>10.99654394241947</c:v>
                </c:pt>
                <c:pt idx="26">
                  <c:v>10.854994611875822</c:v>
                </c:pt>
                <c:pt idx="27">
                  <c:v>10.957433103944659</c:v>
                </c:pt>
                <c:pt idx="28">
                  <c:v>11.266712745703174</c:v>
                </c:pt>
                <c:pt idx="29">
                  <c:v>11.484026193072612</c:v>
                </c:pt>
                <c:pt idx="30">
                  <c:v>11.602739135581544</c:v>
                </c:pt>
                <c:pt idx="31">
                  <c:v>11.877212437248474</c:v>
                </c:pt>
                <c:pt idx="32">
                  <c:v>11.99262455903491</c:v>
                </c:pt>
                <c:pt idx="33">
                  <c:v>12.234982949357875</c:v>
                </c:pt>
                <c:pt idx="34">
                  <c:v>12.446602770232714</c:v>
                </c:pt>
                <c:pt idx="35">
                  <c:v>12.434804765572165</c:v>
                </c:pt>
                <c:pt idx="36">
                  <c:v>12.588170516751022</c:v>
                </c:pt>
                <c:pt idx="37">
                  <c:v>12.755634795253401</c:v>
                </c:pt>
                <c:pt idx="38">
                  <c:v>13.344150047401628</c:v>
                </c:pt>
                <c:pt idx="39">
                  <c:v>13.242462322090308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8CB-4517-B01F-47144C1C3E2C}"/>
            </c:ext>
          </c:extLst>
        </c:ser>
        <c:ser>
          <c:idx val="2"/>
          <c:order val="2"/>
          <c:tx>
            <c:strRef>
              <c:f>'1_UK stats HDVs'!$C$223</c:f>
              <c:strCache>
                <c:ptCount val="1"/>
                <c:pt idx="0">
                  <c:v>Goods vehicles - 1000kms/toe (total)</c:v>
                </c:pt>
              </c:strCache>
            </c:strRef>
          </c:tx>
          <c:marker>
            <c:symbol val="none"/>
          </c:marker>
          <c:cat>
            <c:numRef>
              <c:f>'1_UK stats HDVs'!$N$127:$BA$127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HDVs'!$N$223:$BA$223</c:f>
              <c:numCache>
                <c:formatCode>0.00</c:formatCode>
                <c:ptCount val="40"/>
                <c:pt idx="0">
                  <c:v>5.0608663641973033</c:v>
                </c:pt>
                <c:pt idx="1">
                  <c:v>5.0229619388991171</c:v>
                </c:pt>
                <c:pt idx="2">
                  <c:v>5.0515389524613594</c:v>
                </c:pt>
                <c:pt idx="3">
                  <c:v>4.9007777280078901</c:v>
                </c:pt>
                <c:pt idx="4">
                  <c:v>4.817357768931001</c:v>
                </c:pt>
                <c:pt idx="5">
                  <c:v>4.800820280496076</c:v>
                </c:pt>
                <c:pt idx="6">
                  <c:v>4.8132580611378071</c:v>
                </c:pt>
                <c:pt idx="7">
                  <c:v>4.6415048767339515</c:v>
                </c:pt>
                <c:pt idx="8">
                  <c:v>4.6488933328077042</c:v>
                </c:pt>
                <c:pt idx="9">
                  <c:v>4.5264023655965984</c:v>
                </c:pt>
                <c:pt idx="10">
                  <c:v>4.7677792573658211</c:v>
                </c:pt>
                <c:pt idx="11">
                  <c:v>4.8871781804855079</c:v>
                </c:pt>
                <c:pt idx="12">
                  <c:v>4.6450369598416925</c:v>
                </c:pt>
                <c:pt idx="13">
                  <c:v>4.4182982489080498</c:v>
                </c:pt>
                <c:pt idx="14">
                  <c:v>4.2024918583068125</c:v>
                </c:pt>
                <c:pt idx="15">
                  <c:v>3.9448228035279</c:v>
                </c:pt>
                <c:pt idx="16">
                  <c:v>3.6325615199591779</c:v>
                </c:pt>
                <c:pt idx="17">
                  <c:v>3.7948912304613325</c:v>
                </c:pt>
                <c:pt idx="18">
                  <c:v>3.7027678877860968</c:v>
                </c:pt>
                <c:pt idx="19">
                  <c:v>3.9596631524608328</c:v>
                </c:pt>
                <c:pt idx="20">
                  <c:v>3.9142435806022595</c:v>
                </c:pt>
                <c:pt idx="21">
                  <c:v>4.0375539161885401</c:v>
                </c:pt>
                <c:pt idx="22">
                  <c:v>3.9480390990322562</c:v>
                </c:pt>
                <c:pt idx="23">
                  <c:v>3.9707561112346323</c:v>
                </c:pt>
                <c:pt idx="24">
                  <c:v>3.9244504416065586</c:v>
                </c:pt>
                <c:pt idx="25">
                  <c:v>4.0892441410872635</c:v>
                </c:pt>
                <c:pt idx="26">
                  <c:v>4.0977398081536807</c:v>
                </c:pt>
                <c:pt idx="27">
                  <c:v>4.186361050837446</c:v>
                </c:pt>
                <c:pt idx="28">
                  <c:v>4.357346382148422</c:v>
                </c:pt>
                <c:pt idx="29">
                  <c:v>4.5122897867759963</c:v>
                </c:pt>
                <c:pt idx="30">
                  <c:v>4.5826356499769272</c:v>
                </c:pt>
                <c:pt idx="31">
                  <c:v>4.5613567407578213</c:v>
                </c:pt>
                <c:pt idx="32">
                  <c:v>4.5008273703274568</c:v>
                </c:pt>
                <c:pt idx="33">
                  <c:v>4.4776881035907881</c:v>
                </c:pt>
                <c:pt idx="34">
                  <c:v>4.5214305116045175</c:v>
                </c:pt>
                <c:pt idx="35">
                  <c:v>4.420202257970403</c:v>
                </c:pt>
                <c:pt idx="36">
                  <c:v>4.4132371988401484</c:v>
                </c:pt>
                <c:pt idx="37">
                  <c:v>4.4224305906284327</c:v>
                </c:pt>
                <c:pt idx="38">
                  <c:v>4.6515029361652545</c:v>
                </c:pt>
                <c:pt idx="39">
                  <c:v>4.6307133129602516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8CB-4517-B01F-47144C1C3E2C}"/>
            </c:ext>
          </c:extLst>
        </c:ser>
        <c:ser>
          <c:idx val="3"/>
          <c:order val="3"/>
          <c:tx>
            <c:strRef>
              <c:f>'1_UK stats HDVs'!$C$228</c:f>
              <c:strCache>
                <c:ptCount val="1"/>
                <c:pt idx="0">
                  <c:v>Motorcycles - 1000kms/toe</c:v>
                </c:pt>
              </c:strCache>
            </c:strRef>
          </c:tx>
          <c:marker>
            <c:symbol val="none"/>
          </c:marker>
          <c:cat>
            <c:numRef>
              <c:f>'1_UK stats HDVs'!$N$127:$BA$127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HDVs'!$N$228:$BA$228</c:f>
              <c:numCache>
                <c:formatCode>0.00</c:formatCode>
                <c:ptCount val="40"/>
                <c:pt idx="0">
                  <c:v>19.745690767990428</c:v>
                </c:pt>
                <c:pt idx="1">
                  <c:v>19.601411899471714</c:v>
                </c:pt>
                <c:pt idx="2">
                  <c:v>20.162668847614061</c:v>
                </c:pt>
                <c:pt idx="3">
                  <c:v>19.775803588255776</c:v>
                </c:pt>
                <c:pt idx="4">
                  <c:v>19.916942978102949</c:v>
                </c:pt>
                <c:pt idx="5">
                  <c:v>21.150233958491096</c:v>
                </c:pt>
                <c:pt idx="6">
                  <c:v>20.591454341550484</c:v>
                </c:pt>
                <c:pt idx="7">
                  <c:v>20.874505107727085</c:v>
                </c:pt>
                <c:pt idx="8">
                  <c:v>20.183342861668759</c:v>
                </c:pt>
                <c:pt idx="9">
                  <c:v>19.944898187488167</c:v>
                </c:pt>
                <c:pt idx="10">
                  <c:v>20.728824572595858</c:v>
                </c:pt>
                <c:pt idx="11">
                  <c:v>21.447215961504764</c:v>
                </c:pt>
                <c:pt idx="12">
                  <c:v>21.400247457331027</c:v>
                </c:pt>
                <c:pt idx="13">
                  <c:v>21.577542354091477</c:v>
                </c:pt>
                <c:pt idx="14">
                  <c:v>21.500118794645509</c:v>
                </c:pt>
                <c:pt idx="15">
                  <c:v>22.137527546196534</c:v>
                </c:pt>
                <c:pt idx="16">
                  <c:v>22.090846283663051</c:v>
                </c:pt>
                <c:pt idx="17">
                  <c:v>22.968081012566422</c:v>
                </c:pt>
                <c:pt idx="18">
                  <c:v>22.914333827205379</c:v>
                </c:pt>
                <c:pt idx="19">
                  <c:v>24.704883241701957</c:v>
                </c:pt>
                <c:pt idx="20">
                  <c:v>23.810487192544318</c:v>
                </c:pt>
                <c:pt idx="21">
                  <c:v>23.910380168947608</c:v>
                </c:pt>
                <c:pt idx="22">
                  <c:v>23.089331369753783</c:v>
                </c:pt>
                <c:pt idx="23">
                  <c:v>22.397329401182031</c:v>
                </c:pt>
                <c:pt idx="24">
                  <c:v>22.954465196796981</c:v>
                </c:pt>
                <c:pt idx="25">
                  <c:v>23.473668131567063</c:v>
                </c:pt>
                <c:pt idx="26">
                  <c:v>22.591532659875</c:v>
                </c:pt>
                <c:pt idx="27">
                  <c:v>22.905575066410353</c:v>
                </c:pt>
                <c:pt idx="28">
                  <c:v>23.169342123435392</c:v>
                </c:pt>
                <c:pt idx="29">
                  <c:v>22.525100815321078</c:v>
                </c:pt>
                <c:pt idx="30">
                  <c:v>22.556862256180793</c:v>
                </c:pt>
                <c:pt idx="31">
                  <c:v>23.614162541885335</c:v>
                </c:pt>
                <c:pt idx="32">
                  <c:v>23.382014151536541</c:v>
                </c:pt>
                <c:pt idx="33">
                  <c:v>23.547614012652826</c:v>
                </c:pt>
                <c:pt idx="34">
                  <c:v>24.231255228129456</c:v>
                </c:pt>
                <c:pt idx="35">
                  <c:v>23.88548704140317</c:v>
                </c:pt>
                <c:pt idx="36">
                  <c:v>24.873857347615765</c:v>
                </c:pt>
                <c:pt idx="37">
                  <c:v>24.782838604916076</c:v>
                </c:pt>
                <c:pt idx="38">
                  <c:v>24.680318732439392</c:v>
                </c:pt>
                <c:pt idx="39">
                  <c:v>26.196222317500148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8CB-4517-B01F-47144C1C3E2C}"/>
            </c:ext>
          </c:extLst>
        </c:ser>
        <c:ser>
          <c:idx val="4"/>
          <c:order val="4"/>
          <c:tx>
            <c:strRef>
              <c:f>'1_UK stats HDVs'!$C$234</c:f>
              <c:strCache>
                <c:ptCount val="1"/>
                <c:pt idx="0">
                  <c:v>Buses &amp; Coaches - 1000kms/toe</c:v>
                </c:pt>
              </c:strCache>
            </c:strRef>
          </c:tx>
          <c:marker>
            <c:symbol val="none"/>
          </c:marker>
          <c:cat>
            <c:numRef>
              <c:f>'1_UK stats HDVs'!$N$127:$BA$127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HDVs'!$N$234:$BA$234</c:f>
              <c:numCache>
                <c:formatCode>0.00</c:formatCode>
                <c:ptCount val="40"/>
                <c:pt idx="0">
                  <c:v>3.6216929385254524</c:v>
                </c:pt>
                <c:pt idx="1">
                  <c:v>3.6136125003404644</c:v>
                </c:pt>
                <c:pt idx="2">
                  <c:v>3.6463801991509159</c:v>
                </c:pt>
                <c:pt idx="3">
                  <c:v>3.5357129171942057</c:v>
                </c:pt>
                <c:pt idx="4">
                  <c:v>3.6661325755117691</c:v>
                </c:pt>
                <c:pt idx="5">
                  <c:v>3.5830951911484972</c:v>
                </c:pt>
                <c:pt idx="6">
                  <c:v>3.7039485811291488</c:v>
                </c:pt>
                <c:pt idx="7">
                  <c:v>3.5292888061775138</c:v>
                </c:pt>
                <c:pt idx="8">
                  <c:v>3.6605414026129788</c:v>
                </c:pt>
                <c:pt idx="9">
                  <c:v>3.580407783152324</c:v>
                </c:pt>
                <c:pt idx="10">
                  <c:v>3.6435235151702026</c:v>
                </c:pt>
                <c:pt idx="11">
                  <c:v>3.754731905179113</c:v>
                </c:pt>
                <c:pt idx="12">
                  <c:v>3.5691851418865941</c:v>
                </c:pt>
                <c:pt idx="13">
                  <c:v>3.3718460967998065</c:v>
                </c:pt>
                <c:pt idx="14">
                  <c:v>3.2388004105545281</c:v>
                </c:pt>
                <c:pt idx="15">
                  <c:v>3.1350950461651119</c:v>
                </c:pt>
                <c:pt idx="16">
                  <c:v>2.8876445511990947</c:v>
                </c:pt>
                <c:pt idx="17">
                  <c:v>2.9414889086904963</c:v>
                </c:pt>
                <c:pt idx="18">
                  <c:v>2.951793887761581</c:v>
                </c:pt>
                <c:pt idx="19">
                  <c:v>2.7917755803370592</c:v>
                </c:pt>
                <c:pt idx="20">
                  <c:v>2.8417880687306716</c:v>
                </c:pt>
                <c:pt idx="21">
                  <c:v>2.8667249049805155</c:v>
                </c:pt>
                <c:pt idx="22">
                  <c:v>2.806383049846104</c:v>
                </c:pt>
                <c:pt idx="23">
                  <c:v>2.811591108937213</c:v>
                </c:pt>
                <c:pt idx="24">
                  <c:v>2.7748017173172275</c:v>
                </c:pt>
                <c:pt idx="25">
                  <c:v>2.8298358246340167</c:v>
                </c:pt>
                <c:pt idx="26">
                  <c:v>2.8878046635727705</c:v>
                </c:pt>
                <c:pt idx="27">
                  <c:v>2.9793744187359854</c:v>
                </c:pt>
                <c:pt idx="28">
                  <c:v>3.1544041118065369</c:v>
                </c:pt>
                <c:pt idx="29">
                  <c:v>3.2557772118535793</c:v>
                </c:pt>
                <c:pt idx="30">
                  <c:v>3.3637625941070342</c:v>
                </c:pt>
                <c:pt idx="31">
                  <c:v>3.4465515901640567</c:v>
                </c:pt>
                <c:pt idx="32">
                  <c:v>3.457484232575037</c:v>
                </c:pt>
                <c:pt idx="33">
                  <c:v>3.4737764609009965</c:v>
                </c:pt>
                <c:pt idx="34">
                  <c:v>3.5236269543008101</c:v>
                </c:pt>
                <c:pt idx="35">
                  <c:v>3.5345441270544002</c:v>
                </c:pt>
                <c:pt idx="36">
                  <c:v>3.5955490001662866</c:v>
                </c:pt>
                <c:pt idx="37">
                  <c:v>3.6413236568254099</c:v>
                </c:pt>
                <c:pt idx="38">
                  <c:v>3.7474213690588338</c:v>
                </c:pt>
                <c:pt idx="39">
                  <c:v>3.7597059491270133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8CB-4517-B01F-47144C1C3E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03984128"/>
        <c:axId val="503985664"/>
      </c:lineChart>
      <c:catAx>
        <c:axId val="503984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03985664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0398566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vehicle fuel economy 1000km/toe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039841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vehicle</a:t>
            </a:r>
            <a:r>
              <a:rPr lang="en-GB" baseline="0"/>
              <a:t> fuel economy 1970-2009</a:t>
            </a:r>
            <a:endParaRPr lang="en-GB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HDVs'!$C$187</c:f>
              <c:strCache>
                <c:ptCount val="1"/>
                <c:pt idx="0">
                  <c:v>Cars &amp; Taxis - 1000kms/toe 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cat>
            <c:numRef>
              <c:f>'1_UK stats HDVs'!$N$127:$BB$127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HDVs'!$N$187:$BA$187</c:f>
              <c:numCache>
                <c:formatCode>0.00</c:formatCode>
                <c:ptCount val="40"/>
                <c:pt idx="0">
                  <c:v>12.770413360504575</c:v>
                </c:pt>
                <c:pt idx="1">
                  <c:v>12.863475571154616</c:v>
                </c:pt>
                <c:pt idx="2">
                  <c:v>12.735749950073343</c:v>
                </c:pt>
                <c:pt idx="3">
                  <c:v>12.561890427852854</c:v>
                </c:pt>
                <c:pt idx="4">
                  <c:v>12.688918224304851</c:v>
                </c:pt>
                <c:pt idx="5">
                  <c:v>13.085171954368173</c:v>
                </c:pt>
                <c:pt idx="6">
                  <c:v>13.110514051282163</c:v>
                </c:pt>
                <c:pt idx="7">
                  <c:v>12.972036883890848</c:v>
                </c:pt>
                <c:pt idx="8">
                  <c:v>12.728653882461597</c:v>
                </c:pt>
                <c:pt idx="9">
                  <c:v>12.431972770092653</c:v>
                </c:pt>
                <c:pt idx="10">
                  <c:v>12.911782130297878</c:v>
                </c:pt>
                <c:pt idx="11">
                  <c:v>13.48778520867859</c:v>
                </c:pt>
                <c:pt idx="12">
                  <c:v>13.504481253994898</c:v>
                </c:pt>
                <c:pt idx="13">
                  <c:v>13.45293504346118</c:v>
                </c:pt>
                <c:pt idx="14">
                  <c:v>13.710913773674353</c:v>
                </c:pt>
                <c:pt idx="15">
                  <c:v>13.920905230807538</c:v>
                </c:pt>
                <c:pt idx="16">
                  <c:v>13.919287663262216</c:v>
                </c:pt>
                <c:pt idx="17">
                  <c:v>14.423534571149501</c:v>
                </c:pt>
                <c:pt idx="18">
                  <c:v>14.692307256892025</c:v>
                </c:pt>
                <c:pt idx="19">
                  <c:v>15.475574706656293</c:v>
                </c:pt>
                <c:pt idx="20">
                  <c:v>14.924070678916152</c:v>
                </c:pt>
                <c:pt idx="21">
                  <c:v>14.946436779767327</c:v>
                </c:pt>
                <c:pt idx="22">
                  <c:v>14.745053269976687</c:v>
                </c:pt>
                <c:pt idx="23">
                  <c:v>14.584212895945685</c:v>
                </c:pt>
                <c:pt idx="24">
                  <c:v>15.025058971915756</c:v>
                </c:pt>
                <c:pt idx="25">
                  <c:v>15.483070241465436</c:v>
                </c:pt>
                <c:pt idx="26">
                  <c:v>15.230952037287661</c:v>
                </c:pt>
                <c:pt idx="27">
                  <c:v>15.329990144489351</c:v>
                </c:pt>
                <c:pt idx="28">
                  <c:v>15.672148458417229</c:v>
                </c:pt>
                <c:pt idx="29">
                  <c:v>15.65514115313071</c:v>
                </c:pt>
                <c:pt idx="30">
                  <c:v>15.64445261082828</c:v>
                </c:pt>
                <c:pt idx="31">
                  <c:v>15.863755196216916</c:v>
                </c:pt>
                <c:pt idx="32">
                  <c:v>15.918146654657487</c:v>
                </c:pt>
                <c:pt idx="33">
                  <c:v>16.137299336197234</c:v>
                </c:pt>
                <c:pt idx="34">
                  <c:v>16.214523512519648</c:v>
                </c:pt>
                <c:pt idx="35">
                  <c:v>16.136761748749077</c:v>
                </c:pt>
                <c:pt idx="36">
                  <c:v>16.425597829510071</c:v>
                </c:pt>
                <c:pt idx="37">
                  <c:v>16.388827320333299</c:v>
                </c:pt>
                <c:pt idx="38">
                  <c:v>16.725477583037655</c:v>
                </c:pt>
                <c:pt idx="39">
                  <c:v>17.19543624094316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AB4-4492-A4DE-8B4A173ACE41}"/>
            </c:ext>
          </c:extLst>
        </c:ser>
        <c:ser>
          <c:idx val="1"/>
          <c:order val="1"/>
          <c:tx>
            <c:strRef>
              <c:f>'1_UK stats HDVs'!$C$189</c:f>
              <c:strCache>
                <c:ptCount val="1"/>
                <c:pt idx="0">
                  <c:v>Cars &amp; Taxis - 1000kms/toe (DERV)</c:v>
                </c:pt>
              </c:strCache>
            </c:strRef>
          </c:tx>
          <c:marker>
            <c:symbol val="none"/>
          </c:marker>
          <c:cat>
            <c:numRef>
              <c:f>'1_UK stats HDVs'!$N$127:$BB$127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HDVs'!$N$189:$BA$189</c:f>
              <c:numCache>
                <c:formatCode>0.00</c:formatCode>
                <c:ptCount val="40"/>
                <c:pt idx="0">
                  <c:v>15.927662757418929</c:v>
                </c:pt>
                <c:pt idx="1">
                  <c:v>16.043162673485078</c:v>
                </c:pt>
                <c:pt idx="2">
                  <c:v>15.884241740877915</c:v>
                </c:pt>
                <c:pt idx="3">
                  <c:v>15.666440732441734</c:v>
                </c:pt>
                <c:pt idx="4">
                  <c:v>15.824966771530418</c:v>
                </c:pt>
                <c:pt idx="5">
                  <c:v>16.318239185699362</c:v>
                </c:pt>
                <c:pt idx="6">
                  <c:v>16.350379503457312</c:v>
                </c:pt>
                <c:pt idx="7">
                  <c:v>16.176790066032272</c:v>
                </c:pt>
                <c:pt idx="8">
                  <c:v>15.874397881865567</c:v>
                </c:pt>
                <c:pt idx="9">
                  <c:v>15.504666409103992</c:v>
                </c:pt>
                <c:pt idx="10">
                  <c:v>16.102949848446475</c:v>
                </c:pt>
                <c:pt idx="11">
                  <c:v>16.820664591756934</c:v>
                </c:pt>
                <c:pt idx="12">
                  <c:v>16.839533752531857</c:v>
                </c:pt>
                <c:pt idx="13">
                  <c:v>16.773429153191099</c:v>
                </c:pt>
                <c:pt idx="14">
                  <c:v>17.092266272496612</c:v>
                </c:pt>
                <c:pt idx="15">
                  <c:v>17.350994783206417</c:v>
                </c:pt>
                <c:pt idx="16">
                  <c:v>17.344768969638348</c:v>
                </c:pt>
                <c:pt idx="17">
                  <c:v>17.949127866313518</c:v>
                </c:pt>
                <c:pt idx="18">
                  <c:v>18.272407638107271</c:v>
                </c:pt>
                <c:pt idx="19">
                  <c:v>19.210138041006907</c:v>
                </c:pt>
                <c:pt idx="20">
                  <c:v>18.453045983779461</c:v>
                </c:pt>
                <c:pt idx="21">
                  <c:v>18.453621876896726</c:v>
                </c:pt>
                <c:pt idx="22">
                  <c:v>18.151803052583983</c:v>
                </c:pt>
                <c:pt idx="23">
                  <c:v>17.881842987656562</c:v>
                </c:pt>
                <c:pt idx="24">
                  <c:v>18.309475157403973</c:v>
                </c:pt>
                <c:pt idx="25">
                  <c:v>18.780221523189184</c:v>
                </c:pt>
                <c:pt idx="26">
                  <c:v>18.41753364611111</c:v>
                </c:pt>
                <c:pt idx="27">
                  <c:v>18.486562380381205</c:v>
                </c:pt>
                <c:pt idx="28">
                  <c:v>18.872106532131259</c:v>
                </c:pt>
                <c:pt idx="29">
                  <c:v>18.800768734135598</c:v>
                </c:pt>
                <c:pt idx="30">
                  <c:v>18.753606154390017</c:v>
                </c:pt>
                <c:pt idx="31">
                  <c:v>18.955565395282566</c:v>
                </c:pt>
                <c:pt idx="32">
                  <c:v>18.939447762008001</c:v>
                </c:pt>
                <c:pt idx="33">
                  <c:v>19.102965866448741</c:v>
                </c:pt>
                <c:pt idx="34">
                  <c:v>19.10414173176742</c:v>
                </c:pt>
                <c:pt idx="35">
                  <c:v>18.905584972433335</c:v>
                </c:pt>
                <c:pt idx="36">
                  <c:v>19.124003017354543</c:v>
                </c:pt>
                <c:pt idx="37">
                  <c:v>18.984283008159952</c:v>
                </c:pt>
                <c:pt idx="38">
                  <c:v>19.270682992761408</c:v>
                </c:pt>
                <c:pt idx="39">
                  <c:v>19.733472710376542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B4-4492-A4DE-8B4A173ACE41}"/>
            </c:ext>
          </c:extLst>
        </c:ser>
        <c:ser>
          <c:idx val="2"/>
          <c:order val="2"/>
          <c:tx>
            <c:strRef>
              <c:f>'1_UK stats HDVs'!$C$188</c:f>
              <c:strCache>
                <c:ptCount val="1"/>
                <c:pt idx="0">
                  <c:v>Cars &amp; Taxis - 1000kms/toe (Petrol)</c:v>
                </c:pt>
              </c:strCache>
            </c:strRef>
          </c:tx>
          <c:spPr>
            <a:ln>
              <a:solidFill>
                <a:schemeClr val="accent2">
                  <a:lumMod val="60000"/>
                  <a:lumOff val="40000"/>
                </a:schemeClr>
              </a:solidFill>
            </a:ln>
          </c:spPr>
          <c:marker>
            <c:symbol val="none"/>
          </c:marker>
          <c:cat>
            <c:numRef>
              <c:f>'1_UK stats HDVs'!$N$127:$BB$127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HDVs'!$N$188:$BA$188</c:f>
              <c:numCache>
                <c:formatCode>0.00</c:formatCode>
                <c:ptCount val="40"/>
                <c:pt idx="0">
                  <c:v>12.74213020593514</c:v>
                </c:pt>
                <c:pt idx="1">
                  <c:v>12.834530138788063</c:v>
                </c:pt>
                <c:pt idx="2">
                  <c:v>12.707393392702333</c:v>
                </c:pt>
                <c:pt idx="3">
                  <c:v>12.533152585953388</c:v>
                </c:pt>
                <c:pt idx="4">
                  <c:v>12.659973417224334</c:v>
                </c:pt>
                <c:pt idx="5">
                  <c:v>13.054591348559491</c:v>
                </c:pt>
                <c:pt idx="6">
                  <c:v>13.08030360276585</c:v>
                </c:pt>
                <c:pt idx="7">
                  <c:v>12.941432052825817</c:v>
                </c:pt>
                <c:pt idx="8">
                  <c:v>12.699518305492454</c:v>
                </c:pt>
                <c:pt idx="9">
                  <c:v>12.403733127283193</c:v>
                </c:pt>
                <c:pt idx="10">
                  <c:v>12.88235987875718</c:v>
                </c:pt>
                <c:pt idx="11">
                  <c:v>13.45653167340555</c:v>
                </c:pt>
                <c:pt idx="12">
                  <c:v>13.471627002025482</c:v>
                </c:pt>
                <c:pt idx="13">
                  <c:v>13.41874332255288</c:v>
                </c:pt>
                <c:pt idx="14">
                  <c:v>13.67381301799729</c:v>
                </c:pt>
                <c:pt idx="15">
                  <c:v>13.88079582656513</c:v>
                </c:pt>
                <c:pt idx="16">
                  <c:v>13.875815175710677</c:v>
                </c:pt>
                <c:pt idx="17">
                  <c:v>14.359302293050815</c:v>
                </c:pt>
                <c:pt idx="18">
                  <c:v>14.617926110485817</c:v>
                </c:pt>
                <c:pt idx="19">
                  <c:v>15.368110432805528</c:v>
                </c:pt>
                <c:pt idx="20">
                  <c:v>14.762436787023567</c:v>
                </c:pt>
                <c:pt idx="21">
                  <c:v>14.762897501517381</c:v>
                </c:pt>
                <c:pt idx="22">
                  <c:v>14.521442442067187</c:v>
                </c:pt>
                <c:pt idx="23">
                  <c:v>14.30547439012525</c:v>
                </c:pt>
                <c:pt idx="24">
                  <c:v>14.647580125923175</c:v>
                </c:pt>
                <c:pt idx="25">
                  <c:v>15.024177218551349</c:v>
                </c:pt>
                <c:pt idx="26">
                  <c:v>14.734026916888887</c:v>
                </c:pt>
                <c:pt idx="27">
                  <c:v>14.789249904304961</c:v>
                </c:pt>
                <c:pt idx="28">
                  <c:v>15.097685225705007</c:v>
                </c:pt>
                <c:pt idx="29">
                  <c:v>15.040614987308478</c:v>
                </c:pt>
                <c:pt idx="30">
                  <c:v>15.002884923512017</c:v>
                </c:pt>
                <c:pt idx="31">
                  <c:v>15.16445231622605</c:v>
                </c:pt>
                <c:pt idx="32">
                  <c:v>15.151558209606399</c:v>
                </c:pt>
                <c:pt idx="33">
                  <c:v>15.282372693158992</c:v>
                </c:pt>
                <c:pt idx="34">
                  <c:v>15.283313385413933</c:v>
                </c:pt>
                <c:pt idx="35">
                  <c:v>15.124467977946669</c:v>
                </c:pt>
                <c:pt idx="36">
                  <c:v>15.299202413883636</c:v>
                </c:pt>
                <c:pt idx="37">
                  <c:v>15.187426406527958</c:v>
                </c:pt>
                <c:pt idx="38">
                  <c:v>15.416546394209128</c:v>
                </c:pt>
                <c:pt idx="39">
                  <c:v>15.786778168301231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AB4-4492-A4DE-8B4A173ACE41}"/>
            </c:ext>
          </c:extLst>
        </c:ser>
        <c:ser>
          <c:idx val="3"/>
          <c:order val="3"/>
          <c:tx>
            <c:strRef>
              <c:f>'1_UK stats HDVs'!$C$199</c:f>
              <c:strCache>
                <c:ptCount val="1"/>
                <c:pt idx="0">
                  <c:v>Light vans - 1000kms/toe </c:v>
                </c:pt>
              </c:strCache>
            </c:strRef>
          </c:tx>
          <c:spPr>
            <a:ln>
              <a:solidFill>
                <a:srgbClr val="002060"/>
              </a:solidFill>
            </a:ln>
          </c:spPr>
          <c:marker>
            <c:symbol val="none"/>
          </c:marker>
          <c:cat>
            <c:numRef>
              <c:f>'1_UK stats HDVs'!$N$127:$BB$127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HDVs'!$N$199:$BA$199</c:f>
              <c:numCache>
                <c:formatCode>0.00</c:formatCode>
                <c:ptCount val="40"/>
                <c:pt idx="0">
                  <c:v>9.9588011426233987</c:v>
                </c:pt>
                <c:pt idx="1">
                  <c:v>10.116619000132593</c:v>
                </c:pt>
                <c:pt idx="2">
                  <c:v>10.160604085448682</c:v>
                </c:pt>
                <c:pt idx="3">
                  <c:v>10.089181137939953</c:v>
                </c:pt>
                <c:pt idx="4">
                  <c:v>10.16794982880371</c:v>
                </c:pt>
                <c:pt idx="5">
                  <c:v>10.498944375788678</c:v>
                </c:pt>
                <c:pt idx="6">
                  <c:v>10.573075824797826</c:v>
                </c:pt>
                <c:pt idx="7">
                  <c:v>10.476904711252567</c:v>
                </c:pt>
                <c:pt idx="8">
                  <c:v>10.450238672254052</c:v>
                </c:pt>
                <c:pt idx="9">
                  <c:v>10.268451501964396</c:v>
                </c:pt>
                <c:pt idx="10">
                  <c:v>10.734158513862551</c:v>
                </c:pt>
                <c:pt idx="11">
                  <c:v>11.181481666865068</c:v>
                </c:pt>
                <c:pt idx="12">
                  <c:v>11.137770665451541</c:v>
                </c:pt>
                <c:pt idx="13">
                  <c:v>11.040277678494256</c:v>
                </c:pt>
                <c:pt idx="14">
                  <c:v>11.082838741376978</c:v>
                </c:pt>
                <c:pt idx="15">
                  <c:v>11.280506630897554</c:v>
                </c:pt>
                <c:pt idx="16">
                  <c:v>11.02824288735524</c:v>
                </c:pt>
                <c:pt idx="17">
                  <c:v>11.404804294005704</c:v>
                </c:pt>
                <c:pt idx="18">
                  <c:v>11.567964208419065</c:v>
                </c:pt>
                <c:pt idx="19">
                  <c:v>10.460097294445267</c:v>
                </c:pt>
                <c:pt idx="20">
                  <c:v>10.931028462995789</c:v>
                </c:pt>
                <c:pt idx="21">
                  <c:v>11.0392703338541</c:v>
                </c:pt>
                <c:pt idx="22">
                  <c:v>10.785913397330875</c:v>
                </c:pt>
                <c:pt idx="23">
                  <c:v>10.684561580309968</c:v>
                </c:pt>
                <c:pt idx="24">
                  <c:v>10.681685171652722</c:v>
                </c:pt>
                <c:pt idx="25">
                  <c:v>10.99654394241947</c:v>
                </c:pt>
                <c:pt idx="26">
                  <c:v>10.854994611875822</c:v>
                </c:pt>
                <c:pt idx="27">
                  <c:v>10.957433103944659</c:v>
                </c:pt>
                <c:pt idx="28">
                  <c:v>11.266712745703174</c:v>
                </c:pt>
                <c:pt idx="29">
                  <c:v>11.484026193072612</c:v>
                </c:pt>
                <c:pt idx="30">
                  <c:v>11.602739135581544</c:v>
                </c:pt>
                <c:pt idx="31">
                  <c:v>11.877212437248474</c:v>
                </c:pt>
                <c:pt idx="32">
                  <c:v>11.99262455903491</c:v>
                </c:pt>
                <c:pt idx="33">
                  <c:v>12.234982949357875</c:v>
                </c:pt>
                <c:pt idx="34">
                  <c:v>12.446602770232714</c:v>
                </c:pt>
                <c:pt idx="35">
                  <c:v>12.434804765572165</c:v>
                </c:pt>
                <c:pt idx="36">
                  <c:v>12.588170516751022</c:v>
                </c:pt>
                <c:pt idx="37">
                  <c:v>12.755634795253401</c:v>
                </c:pt>
                <c:pt idx="38">
                  <c:v>13.344150047401628</c:v>
                </c:pt>
                <c:pt idx="39">
                  <c:v>13.242462322090308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AB4-4492-A4DE-8B4A173ACE41}"/>
            </c:ext>
          </c:extLst>
        </c:ser>
        <c:ser>
          <c:idx val="4"/>
          <c:order val="4"/>
          <c:tx>
            <c:strRef>
              <c:f>'1_UK stats HDVs'!$C$201</c:f>
              <c:strCache>
                <c:ptCount val="1"/>
                <c:pt idx="0">
                  <c:v>Light vans - 1000kms/toe (DERV)</c:v>
                </c:pt>
              </c:strCache>
            </c:strRef>
          </c:tx>
          <c:marker>
            <c:symbol val="none"/>
          </c:marker>
          <c:cat>
            <c:numRef>
              <c:f>'1_UK stats HDVs'!$N$127:$BB$127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HDVs'!$N$201:$BA$201</c:f>
              <c:numCache>
                <c:formatCode>0.00</c:formatCode>
                <c:ptCount val="40"/>
                <c:pt idx="0">
                  <c:v>12.070843784529567</c:v>
                </c:pt>
                <c:pt idx="1">
                  <c:v>12.244510898796259</c:v>
                </c:pt>
                <c:pt idx="2">
                  <c:v>12.283658858399525</c:v>
                </c:pt>
                <c:pt idx="3">
                  <c:v>12.177823110781377</c:v>
                </c:pt>
                <c:pt idx="4">
                  <c:v>12.260505138718086</c:v>
                </c:pt>
                <c:pt idx="5">
                  <c:v>12.657926717494142</c:v>
                </c:pt>
                <c:pt idx="6">
                  <c:v>12.756393372616884</c:v>
                </c:pt>
                <c:pt idx="7">
                  <c:v>12.61466925551532</c:v>
                </c:pt>
                <c:pt idx="8">
                  <c:v>12.580472480510288</c:v>
                </c:pt>
                <c:pt idx="9">
                  <c:v>12.353677740928498</c:v>
                </c:pt>
                <c:pt idx="10">
                  <c:v>12.907036675629879</c:v>
                </c:pt>
                <c:pt idx="11">
                  <c:v>13.424347307326993</c:v>
                </c:pt>
                <c:pt idx="12">
                  <c:v>13.340456920141433</c:v>
                </c:pt>
                <c:pt idx="13">
                  <c:v>13.204669556139867</c:v>
                </c:pt>
                <c:pt idx="14">
                  <c:v>13.231923931835361</c:v>
                </c:pt>
                <c:pt idx="15">
                  <c:v>13.436053887529447</c:v>
                </c:pt>
                <c:pt idx="16">
                  <c:v>13.101755056885127</c:v>
                </c:pt>
                <c:pt idx="17">
                  <c:v>13.546160967993327</c:v>
                </c:pt>
                <c:pt idx="18">
                  <c:v>13.620469363699952</c:v>
                </c:pt>
                <c:pt idx="19">
                  <c:v>12.11693238285897</c:v>
                </c:pt>
                <c:pt idx="20">
                  <c:v>12.49280292182118</c:v>
                </c:pt>
                <c:pt idx="21">
                  <c:v>12.503750406447189</c:v>
                </c:pt>
                <c:pt idx="22">
                  <c:v>12.096491009187154</c:v>
                </c:pt>
                <c:pt idx="23">
                  <c:v>11.874321427793049</c:v>
                </c:pt>
                <c:pt idx="24">
                  <c:v>11.721054068678752</c:v>
                </c:pt>
                <c:pt idx="25">
                  <c:v>11.93410968804557</c:v>
                </c:pt>
                <c:pt idx="26">
                  <c:v>11.684018447250951</c:v>
                </c:pt>
                <c:pt idx="27">
                  <c:v>11.697770007084898</c:v>
                </c:pt>
                <c:pt idx="28">
                  <c:v>11.963824498861683</c:v>
                </c:pt>
                <c:pt idx="29">
                  <c:v>12.082641214130293</c:v>
                </c:pt>
                <c:pt idx="30">
                  <c:v>12.123701287643808</c:v>
                </c:pt>
                <c:pt idx="31">
                  <c:v>12.328332904306659</c:v>
                </c:pt>
                <c:pt idx="32">
                  <c:v>12.375705967638931</c:v>
                </c:pt>
                <c:pt idx="33">
                  <c:v>12.559512027482327</c:v>
                </c:pt>
                <c:pt idx="34">
                  <c:v>12.73017964358209</c:v>
                </c:pt>
                <c:pt idx="35">
                  <c:v>12.673099674275292</c:v>
                </c:pt>
                <c:pt idx="36">
                  <c:v>12.821944635668347</c:v>
                </c:pt>
                <c:pt idx="37">
                  <c:v>12.966707320841723</c:v>
                </c:pt>
                <c:pt idx="38">
                  <c:v>13.553611602317591</c:v>
                </c:pt>
                <c:pt idx="39">
                  <c:v>13.426962595491229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AB4-4492-A4DE-8B4A173ACE41}"/>
            </c:ext>
          </c:extLst>
        </c:ser>
        <c:ser>
          <c:idx val="5"/>
          <c:order val="5"/>
          <c:tx>
            <c:strRef>
              <c:f>'1_UK stats HDVs'!$C$200</c:f>
              <c:strCache>
                <c:ptCount val="1"/>
                <c:pt idx="0">
                  <c:v>Light vans - 1000kms/toe (Petrol)</c:v>
                </c:pt>
              </c:strCache>
            </c:strRef>
          </c:tx>
          <c:spPr>
            <a:ln>
              <a:solidFill>
                <a:schemeClr val="accent1">
                  <a:lumMod val="60000"/>
                  <a:lumOff val="40000"/>
                </a:schemeClr>
              </a:solidFill>
            </a:ln>
          </c:spPr>
          <c:marker>
            <c:symbol val="none"/>
          </c:marker>
          <c:cat>
            <c:numRef>
              <c:f>'1_UK stats HDVs'!$N$127:$BB$127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HDVs'!$N$200:$BA$200</c:f>
              <c:numCache>
                <c:formatCode>0.00</c:formatCode>
                <c:ptCount val="40"/>
                <c:pt idx="0">
                  <c:v>9.6566750276236544</c:v>
                </c:pt>
                <c:pt idx="1">
                  <c:v>9.7956087190370074</c:v>
                </c:pt>
                <c:pt idx="2">
                  <c:v>9.8269270867196212</c:v>
                </c:pt>
                <c:pt idx="3">
                  <c:v>9.7422584886251027</c:v>
                </c:pt>
                <c:pt idx="4">
                  <c:v>9.8084041109744682</c:v>
                </c:pt>
                <c:pt idx="5">
                  <c:v>10.126341373995313</c:v>
                </c:pt>
                <c:pt idx="6">
                  <c:v>10.205114698093507</c:v>
                </c:pt>
                <c:pt idx="7">
                  <c:v>10.091735404412258</c:v>
                </c:pt>
                <c:pt idx="8">
                  <c:v>10.06437798440823</c:v>
                </c:pt>
                <c:pt idx="9">
                  <c:v>9.8829421927427994</c:v>
                </c:pt>
                <c:pt idx="10">
                  <c:v>10.325629340503903</c:v>
                </c:pt>
                <c:pt idx="11">
                  <c:v>10.739477845861595</c:v>
                </c:pt>
                <c:pt idx="12">
                  <c:v>10.672365536113146</c:v>
                </c:pt>
                <c:pt idx="13">
                  <c:v>10.563735644911894</c:v>
                </c:pt>
                <c:pt idx="14">
                  <c:v>10.585539145468289</c:v>
                </c:pt>
                <c:pt idx="15">
                  <c:v>10.748843110023556</c:v>
                </c:pt>
                <c:pt idx="16">
                  <c:v>10.481404045508103</c:v>
                </c:pt>
                <c:pt idx="17">
                  <c:v>10.836928774394663</c:v>
                </c:pt>
                <c:pt idx="18">
                  <c:v>10.896375490959961</c:v>
                </c:pt>
                <c:pt idx="19">
                  <c:v>9.6935459062871772</c:v>
                </c:pt>
                <c:pt idx="20">
                  <c:v>9.9942423374569458</c:v>
                </c:pt>
                <c:pt idx="21">
                  <c:v>10.003000325157752</c:v>
                </c:pt>
                <c:pt idx="22">
                  <c:v>9.6771928073497246</c:v>
                </c:pt>
                <c:pt idx="23">
                  <c:v>9.4994571422344407</c:v>
                </c:pt>
                <c:pt idx="24">
                  <c:v>9.376843254943001</c:v>
                </c:pt>
                <c:pt idx="25">
                  <c:v>9.5472877504364551</c:v>
                </c:pt>
                <c:pt idx="26">
                  <c:v>9.3472147578007601</c:v>
                </c:pt>
                <c:pt idx="27">
                  <c:v>9.3582160056679164</c:v>
                </c:pt>
                <c:pt idx="28">
                  <c:v>9.571059599089347</c:v>
                </c:pt>
                <c:pt idx="29">
                  <c:v>9.6661129713042353</c:v>
                </c:pt>
                <c:pt idx="30">
                  <c:v>9.6989610301150453</c:v>
                </c:pt>
                <c:pt idx="31">
                  <c:v>9.8626663234453265</c:v>
                </c:pt>
                <c:pt idx="32">
                  <c:v>9.9005647741111424</c:v>
                </c:pt>
                <c:pt idx="33">
                  <c:v>10.047609621985861</c:v>
                </c:pt>
                <c:pt idx="34">
                  <c:v>10.184143714865673</c:v>
                </c:pt>
                <c:pt idx="35">
                  <c:v>10.138479739420236</c:v>
                </c:pt>
                <c:pt idx="36">
                  <c:v>10.25755570853468</c:v>
                </c:pt>
                <c:pt idx="37">
                  <c:v>10.373365856673379</c:v>
                </c:pt>
                <c:pt idx="38">
                  <c:v>10.842889281854072</c:v>
                </c:pt>
                <c:pt idx="39">
                  <c:v>10.741570076392984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CAB4-4492-A4DE-8B4A173ACE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017984"/>
        <c:axId val="517019520"/>
      </c:lineChart>
      <c:catAx>
        <c:axId val="51701798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019520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01952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vehcile exergy economy 1000km/toe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170179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transport economy by fuel type 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HDVs'!$C$245</c:f>
              <c:strCache>
                <c:ptCount val="1"/>
                <c:pt idx="0">
                  <c:v>Total petrol 1000kms/toe (av. of 1971-1975)</c:v>
                </c:pt>
              </c:strCache>
            </c:strRef>
          </c:tx>
          <c:marker>
            <c:symbol val="none"/>
          </c:marker>
          <c:cat>
            <c:numRef>
              <c:f>'1_UK stats HDVs'!$N$119:$BB$119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HDVs'!$N$245:$BB$245</c:f>
              <c:numCache>
                <c:formatCode>0.00</c:formatCode>
                <c:ptCount val="41"/>
                <c:pt idx="0">
                  <c:v>12.451745849679581</c:v>
                </c:pt>
                <c:pt idx="1">
                  <c:v>12.548859141922406</c:v>
                </c:pt>
                <c:pt idx="2">
                  <c:v>12.447567119449788</c:v>
                </c:pt>
                <c:pt idx="3">
                  <c:v>12.286200896559246</c:v>
                </c:pt>
                <c:pt idx="4">
                  <c:v>12.405306428290437</c:v>
                </c:pt>
                <c:pt idx="5">
                  <c:v>12.827002209863549</c:v>
                </c:pt>
                <c:pt idx="6">
                  <c:v>12.880358197781833</c:v>
                </c:pt>
                <c:pt idx="7">
                  <c:v>12.751218404147513</c:v>
                </c:pt>
                <c:pt idx="8">
                  <c:v>12.526868482704359</c:v>
                </c:pt>
                <c:pt idx="9">
                  <c:v>12.253696759222196</c:v>
                </c:pt>
                <c:pt idx="10">
                  <c:v>12.760617787537303</c:v>
                </c:pt>
                <c:pt idx="11">
                  <c:v>13.346934801355475</c:v>
                </c:pt>
                <c:pt idx="12">
                  <c:v>13.365921908769064</c:v>
                </c:pt>
                <c:pt idx="13">
                  <c:v>13.296645785169561</c:v>
                </c:pt>
                <c:pt idx="14">
                  <c:v>13.508829247921494</c:v>
                </c:pt>
                <c:pt idx="15">
                  <c:v>13.701324104342008</c:v>
                </c:pt>
                <c:pt idx="16">
                  <c:v>13.656403450055915</c:v>
                </c:pt>
                <c:pt idx="17">
                  <c:v>14.111193247791055</c:v>
                </c:pt>
                <c:pt idx="18">
                  <c:v>14.32985574202052</c:v>
                </c:pt>
                <c:pt idx="19">
                  <c:v>14.839916257853405</c:v>
                </c:pt>
                <c:pt idx="20">
                  <c:v>14.398774206159599</c:v>
                </c:pt>
                <c:pt idx="21">
                  <c:v>14.407931208428026</c:v>
                </c:pt>
                <c:pt idx="22">
                  <c:v>14.170133639906862</c:v>
                </c:pt>
                <c:pt idx="23">
                  <c:v>13.964073185428953</c:v>
                </c:pt>
                <c:pt idx="24">
                  <c:v>14.287060021241329</c:v>
                </c:pt>
                <c:pt idx="25">
                  <c:v>14.683028061955682</c:v>
                </c:pt>
                <c:pt idx="26">
                  <c:v>14.424505306964088</c:v>
                </c:pt>
                <c:pt idx="27">
                  <c:v>14.506927190711922</c:v>
                </c:pt>
                <c:pt idx="28">
                  <c:v>14.82801879835546</c:v>
                </c:pt>
                <c:pt idx="29">
                  <c:v>14.831514791213076</c:v>
                </c:pt>
                <c:pt idx="30">
                  <c:v>14.831642930053723</c:v>
                </c:pt>
                <c:pt idx="31">
                  <c:v>15.036656685522113</c:v>
                </c:pt>
                <c:pt idx="32">
                  <c:v>15.056299616069605</c:v>
                </c:pt>
                <c:pt idx="33">
                  <c:v>15.21831566064621</c:v>
                </c:pt>
                <c:pt idx="34">
                  <c:v>15.239181586306442</c:v>
                </c:pt>
                <c:pt idx="35">
                  <c:v>15.103846057492145</c:v>
                </c:pt>
                <c:pt idx="36">
                  <c:v>15.278788045487588</c:v>
                </c:pt>
                <c:pt idx="37">
                  <c:v>15.190165422663203</c:v>
                </c:pt>
                <c:pt idx="38">
                  <c:v>15.422695208197366</c:v>
                </c:pt>
                <c:pt idx="39">
                  <c:v>15.808511190360234</c:v>
                </c:pt>
                <c:pt idx="40">
                  <c:v>16.025130477234399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E60-4231-A1DD-241D6CE36528}"/>
            </c:ext>
          </c:extLst>
        </c:ser>
        <c:ser>
          <c:idx val="1"/>
          <c:order val="1"/>
          <c:tx>
            <c:strRef>
              <c:f>'1_UK stats HDVs'!$C$246</c:f>
              <c:strCache>
                <c:ptCount val="1"/>
                <c:pt idx="0">
                  <c:v>Total DERV 1000kms/toe (av. Of 1971-1975)</c:v>
                </c:pt>
              </c:strCache>
            </c:strRef>
          </c:tx>
          <c:marker>
            <c:symbol val="none"/>
          </c:marker>
          <c:cat>
            <c:numRef>
              <c:f>'1_UK stats HDVs'!$N$119:$BB$119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HDVs'!$N$246:$BB$246</c:f>
              <c:numCache>
                <c:formatCode>0.00</c:formatCode>
                <c:ptCount val="41"/>
                <c:pt idx="0">
                  <c:v>5.3834073905909117</c:v>
                </c:pt>
                <c:pt idx="1">
                  <c:v>5.4026571843031146</c:v>
                </c:pt>
                <c:pt idx="2">
                  <c:v>5.4715931698512001</c:v>
                </c:pt>
                <c:pt idx="3">
                  <c:v>5.3588822619579028</c:v>
                </c:pt>
                <c:pt idx="4">
                  <c:v>5.368890940158507</c:v>
                </c:pt>
                <c:pt idx="5">
                  <c:v>5.378389369391587</c:v>
                </c:pt>
                <c:pt idx="6">
                  <c:v>5.4017527885158394</c:v>
                </c:pt>
                <c:pt idx="7">
                  <c:v>5.2744926236103256</c:v>
                </c:pt>
                <c:pt idx="8">
                  <c:v>5.3003587705600195</c:v>
                </c:pt>
                <c:pt idx="9">
                  <c:v>5.1654703581971164</c:v>
                </c:pt>
                <c:pt idx="10">
                  <c:v>5.4361560909673505</c:v>
                </c:pt>
                <c:pt idx="11">
                  <c:v>5.6435266895152862</c:v>
                </c:pt>
                <c:pt idx="12">
                  <c:v>5.4583927607214742</c:v>
                </c:pt>
                <c:pt idx="13">
                  <c:v>5.2168527429611693</c:v>
                </c:pt>
                <c:pt idx="14">
                  <c:v>5.0536729100420876</c:v>
                </c:pt>
                <c:pt idx="15">
                  <c:v>4.9060187873271026</c:v>
                </c:pt>
                <c:pt idx="16">
                  <c:v>4.6389827304455142</c:v>
                </c:pt>
                <c:pt idx="17">
                  <c:v>4.973543852389211</c:v>
                </c:pt>
                <c:pt idx="18">
                  <c:v>5.0999067974988987</c:v>
                </c:pt>
                <c:pt idx="19">
                  <c:v>5.6933886144676125</c:v>
                </c:pt>
                <c:pt idx="20">
                  <c:v>6.2587961344275902</c:v>
                </c:pt>
                <c:pt idx="21">
                  <c:v>6.6619762557892486</c:v>
                </c:pt>
                <c:pt idx="22">
                  <c:v>6.9335862739772187</c:v>
                </c:pt>
                <c:pt idx="23">
                  <c:v>7.3144015472989858</c:v>
                </c:pt>
                <c:pt idx="24">
                  <c:v>7.8631421823110399</c:v>
                </c:pt>
                <c:pt idx="25">
                  <c:v>8.4876936459002934</c:v>
                </c:pt>
                <c:pt idx="26">
                  <c:v>8.675966024556935</c:v>
                </c:pt>
                <c:pt idx="27">
                  <c:v>8.9983962805616127</c:v>
                </c:pt>
                <c:pt idx="28">
                  <c:v>9.3828138954197158</c:v>
                </c:pt>
                <c:pt idx="29">
                  <c:v>9.7675728856649808</c:v>
                </c:pt>
                <c:pt idx="30">
                  <c:v>10.002380534247052</c:v>
                </c:pt>
                <c:pt idx="31">
                  <c:v>10.322577527074797</c:v>
                </c:pt>
                <c:pt idx="32">
                  <c:v>10.554127658877452</c:v>
                </c:pt>
                <c:pt idx="33">
                  <c:v>10.838513175136125</c:v>
                </c:pt>
                <c:pt idx="34">
                  <c:v>11.141435567552984</c:v>
                </c:pt>
                <c:pt idx="35">
                  <c:v>11.264812127449924</c:v>
                </c:pt>
                <c:pt idx="36">
                  <c:v>11.613653471376685</c:v>
                </c:pt>
                <c:pt idx="37">
                  <c:v>11.787798475395308</c:v>
                </c:pt>
                <c:pt idx="38">
                  <c:v>12.459584812683705</c:v>
                </c:pt>
                <c:pt idx="39">
                  <c:v>12.866367062084912</c:v>
                </c:pt>
                <c:pt idx="40">
                  <c:v>12.951958517477568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E60-4231-A1DD-241D6CE36528}"/>
            </c:ext>
          </c:extLst>
        </c:ser>
        <c:ser>
          <c:idx val="2"/>
          <c:order val="2"/>
          <c:tx>
            <c:strRef>
              <c:f>'1_UK stats HDVs'!$C$247</c:f>
              <c:strCache>
                <c:ptCount val="1"/>
                <c:pt idx="0">
                  <c:v>Total fuel 1000kms/toe</c:v>
                </c:pt>
              </c:strCache>
            </c:strRef>
          </c:tx>
          <c:marker>
            <c:symbol val="none"/>
          </c:marker>
          <c:cat>
            <c:numRef>
              <c:f>'1_UK stats HDVs'!$N$119:$BB$119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HDVs'!$N$247:$BB$247</c:f>
              <c:numCache>
                <c:formatCode>0.00</c:formatCode>
                <c:ptCount val="41"/>
                <c:pt idx="0">
                  <c:v>10.646555957211657</c:v>
                </c:pt>
                <c:pt idx="1">
                  <c:v>10.749996490742229</c:v>
                </c:pt>
                <c:pt idx="2">
                  <c:v>10.754684335053883</c:v>
                </c:pt>
                <c:pt idx="3">
                  <c:v>10.591255873051345</c:v>
                </c:pt>
                <c:pt idx="4">
                  <c:v>10.682331071780657</c:v>
                </c:pt>
                <c:pt idx="5">
                  <c:v>10.996454408768036</c:v>
                </c:pt>
                <c:pt idx="6">
                  <c:v>11.060159098288768</c:v>
                </c:pt>
                <c:pt idx="7">
                  <c:v>10.939965249083162</c:v>
                </c:pt>
                <c:pt idx="8">
                  <c:v>10.813338730612573</c:v>
                </c:pt>
                <c:pt idx="9">
                  <c:v>10.555718624942001</c:v>
                </c:pt>
                <c:pt idx="10">
                  <c:v>11.081563609230679</c:v>
                </c:pt>
                <c:pt idx="11">
                  <c:v>11.622871929943503</c:v>
                </c:pt>
                <c:pt idx="12">
                  <c:v>11.58895968649793</c:v>
                </c:pt>
                <c:pt idx="13">
                  <c:v>11.392965325029968</c:v>
                </c:pt>
                <c:pt idx="14">
                  <c:v>11.428451631305332</c:v>
                </c:pt>
                <c:pt idx="15">
                  <c:v>11.466576363713227</c:v>
                </c:pt>
                <c:pt idx="16">
                  <c:v>11.273425068544974</c:v>
                </c:pt>
                <c:pt idx="17">
                  <c:v>11.621025006936414</c:v>
                </c:pt>
                <c:pt idx="18">
                  <c:v>11.712168170390619</c:v>
                </c:pt>
                <c:pt idx="19">
                  <c:v>12.153311009201103</c:v>
                </c:pt>
                <c:pt idx="20">
                  <c:v>11.945594932031982</c:v>
                </c:pt>
                <c:pt idx="21">
                  <c:v>12.04561405479712</c:v>
                </c:pt>
                <c:pt idx="22">
                  <c:v>11.901191528274053</c:v>
                </c:pt>
                <c:pt idx="23">
                  <c:v>11.775182431088998</c:v>
                </c:pt>
                <c:pt idx="24">
                  <c:v>11.982289611158986</c:v>
                </c:pt>
                <c:pt idx="25">
                  <c:v>12.341858719191578</c:v>
                </c:pt>
                <c:pt idx="26">
                  <c:v>12.189877438078195</c:v>
                </c:pt>
                <c:pt idx="27">
                  <c:v>12.300266118768601</c:v>
                </c:pt>
                <c:pt idx="28">
                  <c:v>12.607656813133389</c:v>
                </c:pt>
                <c:pt idx="29">
                  <c:v>12.733388382913374</c:v>
                </c:pt>
                <c:pt idx="30">
                  <c:v>12.80008146856874</c:v>
                </c:pt>
                <c:pt idx="31">
                  <c:v>12.996240935826643</c:v>
                </c:pt>
                <c:pt idx="32">
                  <c:v>13.041029858003254</c:v>
                </c:pt>
                <c:pt idx="33">
                  <c:v>13.159233150074414</c:v>
                </c:pt>
                <c:pt idx="34">
                  <c:v>13.244040437950193</c:v>
                </c:pt>
                <c:pt idx="35">
                  <c:v>13.157792472455217</c:v>
                </c:pt>
                <c:pt idx="36">
                  <c:v>13.345538184682393</c:v>
                </c:pt>
                <c:pt idx="37">
                  <c:v>13.335781994067251</c:v>
                </c:pt>
                <c:pt idx="38">
                  <c:v>13.779805212531663</c:v>
                </c:pt>
                <c:pt idx="39">
                  <c:v>14.148314374448239</c:v>
                </c:pt>
                <c:pt idx="40">
                  <c:v>14.215981277848892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E60-4231-A1DD-241D6CE365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064960"/>
        <c:axId val="517074944"/>
      </c:lineChart>
      <c:catAx>
        <c:axId val="51706496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074944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07494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fuel economy</a:t>
                </a:r>
                <a:r>
                  <a:rPr lang="en-GB" baseline="0"/>
                  <a:t> </a:t>
                </a:r>
                <a:r>
                  <a:rPr lang="en-GB"/>
                  <a:t>1000kms/toe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1706496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vehicle exergy efficiency %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HDVs'!$C$254</c:f>
              <c:strCache>
                <c:ptCount val="1"/>
                <c:pt idx="0">
                  <c:v>petrol exergy efficiency, y = 35(1-e^-0.025x)</c:v>
                </c:pt>
              </c:strCache>
            </c:strRef>
          </c:tx>
          <c:marker>
            <c:symbol val="none"/>
          </c:marker>
          <c:cat>
            <c:numRef>
              <c:f>'1_UK stats HDVs'!$D$249:$BB$249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HDVs'!$D$254:$BB$254</c:f>
              <c:numCache>
                <c:formatCode>0.00%</c:formatCode>
                <c:ptCount val="51"/>
                <c:pt idx="0">
                  <c:v>0.15957566228914821</c:v>
                </c:pt>
                <c:pt idx="1">
                  <c:v>0.15957566228914821</c:v>
                </c:pt>
                <c:pt idx="2">
                  <c:v>0.15957566228914821</c:v>
                </c:pt>
                <c:pt idx="3">
                  <c:v>0.15957566228914824</c:v>
                </c:pt>
                <c:pt idx="4">
                  <c:v>0.15957566228914821</c:v>
                </c:pt>
                <c:pt idx="5">
                  <c:v>0.15957566228914824</c:v>
                </c:pt>
                <c:pt idx="6">
                  <c:v>0.15957566228914821</c:v>
                </c:pt>
                <c:pt idx="7">
                  <c:v>0.15957566228914824</c:v>
                </c:pt>
                <c:pt idx="8">
                  <c:v>0.15957566228914824</c:v>
                </c:pt>
                <c:pt idx="9">
                  <c:v>0.15957566228914821</c:v>
                </c:pt>
                <c:pt idx="10">
                  <c:v>0.15977832985657828</c:v>
                </c:pt>
                <c:pt idx="11">
                  <c:v>0.16068077968357733</c:v>
                </c:pt>
                <c:pt idx="12">
                  <c:v>0.15973940156086686</c:v>
                </c:pt>
                <c:pt idx="13">
                  <c:v>0.15823003362711793</c:v>
                </c:pt>
                <c:pt idx="14">
                  <c:v>0.15934526063216348</c:v>
                </c:pt>
                <c:pt idx="15">
                  <c:v>0.16324187261236239</c:v>
                </c:pt>
                <c:pt idx="16">
                  <c:v>0.16372919018945534</c:v>
                </c:pt>
                <c:pt idx="17">
                  <c:v>0.16254752229460565</c:v>
                </c:pt>
                <c:pt idx="18">
                  <c:v>0.16047680163058048</c:v>
                </c:pt>
                <c:pt idx="19">
                  <c:v>0.1579245544997479</c:v>
                </c:pt>
                <c:pt idx="20">
                  <c:v>0.16263378185425792</c:v>
                </c:pt>
                <c:pt idx="21">
                  <c:v>0.16793677186192457</c:v>
                </c:pt>
                <c:pt idx="22">
                  <c:v>0.16810597008408468</c:v>
                </c:pt>
                <c:pt idx="23">
                  <c:v>0.16748787469921694</c:v>
                </c:pt>
                <c:pt idx="24">
                  <c:v>0.16937441294359271</c:v>
                </c:pt>
                <c:pt idx="25">
                  <c:v>0.17106902296461737</c:v>
                </c:pt>
                <c:pt idx="26">
                  <c:v>0.17067499596405628</c:v>
                </c:pt>
                <c:pt idx="27">
                  <c:v>0.17462448779488315</c:v>
                </c:pt>
                <c:pt idx="28">
                  <c:v>0.1764923155995331</c:v>
                </c:pt>
                <c:pt idx="29">
                  <c:v>0.18077232454272851</c:v>
                </c:pt>
                <c:pt idx="30">
                  <c:v>0.17707688799781174</c:v>
                </c:pt>
                <c:pt idx="31">
                  <c:v>0.17715441011566577</c:v>
                </c:pt>
                <c:pt idx="32">
                  <c:v>0.17512993060076679</c:v>
                </c:pt>
                <c:pt idx="33">
                  <c:v>0.17335647742683125</c:v>
                </c:pt>
                <c:pt idx="34">
                  <c:v>0.17612832444328919</c:v>
                </c:pt>
                <c:pt idx="35">
                  <c:v>0.17946721307183686</c:v>
                </c:pt>
                <c:pt idx="36">
                  <c:v>0.17729463614075647</c:v>
                </c:pt>
                <c:pt idx="37">
                  <c:v>0.17799028305817796</c:v>
                </c:pt>
                <c:pt idx="38">
                  <c:v>0.18067370368605196</c:v>
                </c:pt>
                <c:pt idx="39">
                  <c:v>0.18070268875933287</c:v>
                </c:pt>
                <c:pt idx="40">
                  <c:v>0.1807037510567342</c:v>
                </c:pt>
                <c:pt idx="41">
                  <c:v>0.18239484916581919</c:v>
                </c:pt>
                <c:pt idx="42">
                  <c:v>0.1825559884459059</c:v>
                </c:pt>
                <c:pt idx="43">
                  <c:v>0.18387917975043055</c:v>
                </c:pt>
                <c:pt idx="44">
                  <c:v>0.18404883077895423</c:v>
                </c:pt>
                <c:pt idx="45">
                  <c:v>0.18294539099294047</c:v>
                </c:pt>
                <c:pt idx="46">
                  <c:v>0.18437037586967936</c:v>
                </c:pt>
                <c:pt idx="47">
                  <c:v>0.18365002855118884</c:v>
                </c:pt>
                <c:pt idx="48">
                  <c:v>0.18553345091565329</c:v>
                </c:pt>
                <c:pt idx="49">
                  <c:v>0.18861151997382652</c:v>
                </c:pt>
                <c:pt idx="50">
                  <c:v>0.19031440343162881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606-43D0-91B0-31667AC3FF12}"/>
            </c:ext>
          </c:extLst>
        </c:ser>
        <c:ser>
          <c:idx val="1"/>
          <c:order val="1"/>
          <c:tx>
            <c:strRef>
              <c:f>'1_UK stats HDVs'!$C$255</c:f>
              <c:strCache>
                <c:ptCount val="1"/>
                <c:pt idx="0">
                  <c:v>diesel exergy efficiency, y = 43.75(1-e^-0.025x)</c:v>
                </c:pt>
              </c:strCache>
            </c:strRef>
          </c:tx>
          <c:spPr>
            <a:ln>
              <a:solidFill>
                <a:srgbClr val="92D050"/>
              </a:solidFill>
            </a:ln>
          </c:spPr>
          <c:marker>
            <c:symbol val="none"/>
          </c:marker>
          <c:cat>
            <c:numRef>
              <c:f>'1_UK stats HDVs'!$D$249:$BB$249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HDVs'!$D$255:$BB$255</c:f>
              <c:numCache>
                <c:formatCode>0.00%</c:formatCode>
                <c:ptCount val="51"/>
                <c:pt idx="0">
                  <c:v>0.11121274215320702</c:v>
                </c:pt>
                <c:pt idx="1">
                  <c:v>0.11121274215320696</c:v>
                </c:pt>
                <c:pt idx="2">
                  <c:v>0.11121274215320702</c:v>
                </c:pt>
                <c:pt idx="3">
                  <c:v>0.11121274215320696</c:v>
                </c:pt>
                <c:pt idx="4">
                  <c:v>0.11121274215320696</c:v>
                </c:pt>
                <c:pt idx="5">
                  <c:v>0.11121274215320696</c:v>
                </c:pt>
                <c:pt idx="6">
                  <c:v>0.11121274215320696</c:v>
                </c:pt>
                <c:pt idx="7">
                  <c:v>0.11121274215320696</c:v>
                </c:pt>
                <c:pt idx="8">
                  <c:v>0.11121274215320696</c:v>
                </c:pt>
                <c:pt idx="9">
                  <c:v>0.11121274215320696</c:v>
                </c:pt>
                <c:pt idx="10">
                  <c:v>0.11091855298567591</c:v>
                </c:pt>
                <c:pt idx="11">
                  <c:v>0.1112598297595818</c:v>
                </c:pt>
                <c:pt idx="12">
                  <c:v>0.11247906298805355</c:v>
                </c:pt>
                <c:pt idx="13">
                  <c:v>0.11048323335533489</c:v>
                </c:pt>
                <c:pt idx="14">
                  <c:v>0.11066095685956194</c:v>
                </c:pt>
                <c:pt idx="15">
                  <c:v>0.11082953057573279</c:v>
                </c:pt>
                <c:pt idx="16">
                  <c:v>0.11124380384610733</c:v>
                </c:pt>
                <c:pt idx="17">
                  <c:v>0.1089808837749896</c:v>
                </c:pt>
                <c:pt idx="18">
                  <c:v>0.10944209886842129</c:v>
                </c:pt>
                <c:pt idx="19">
                  <c:v>0.10702978848780774</c:v>
                </c:pt>
                <c:pt idx="20">
                  <c:v>0.11185287687011244</c:v>
                </c:pt>
                <c:pt idx="21">
                  <c:v>0.11550014004931991</c:v>
                </c:pt>
                <c:pt idx="22">
                  <c:v>0.11224594778959419</c:v>
                </c:pt>
                <c:pt idx="23">
                  <c:v>0.10795078261415936</c:v>
                </c:pt>
                <c:pt idx="24">
                  <c:v>0.10501699320997183</c:v>
                </c:pt>
                <c:pt idx="25">
                  <c:v>0.10233983630011806</c:v>
                </c:pt>
                <c:pt idx="26">
                  <c:v>9.7443268647691705E-2</c:v>
                </c:pt>
                <c:pt idx="27">
                  <c:v>0.10356681606912473</c:v>
                </c:pt>
                <c:pt idx="28">
                  <c:v>0.10585086800312826</c:v>
                </c:pt>
                <c:pt idx="29">
                  <c:v>0.11637100925335452</c:v>
                </c:pt>
                <c:pt idx="30">
                  <c:v>0.12608294413231028</c:v>
                </c:pt>
                <c:pt idx="31">
                  <c:v>0.13282839736846638</c:v>
                </c:pt>
                <c:pt idx="32">
                  <c:v>0.13729003632412218</c:v>
                </c:pt>
                <c:pt idx="33">
                  <c:v>0.143435744452453</c:v>
                </c:pt>
                <c:pt idx="34">
                  <c:v>0.15207088893372989</c:v>
                </c:pt>
                <c:pt idx="35">
                  <c:v>0.16159089797073409</c:v>
                </c:pt>
                <c:pt idx="36">
                  <c:v>0.16439794803510263</c:v>
                </c:pt>
                <c:pt idx="37">
                  <c:v>0.16913905373674695</c:v>
                </c:pt>
                <c:pt idx="38">
                  <c:v>0.17468419641627367</c:v>
                </c:pt>
                <c:pt idx="39">
                  <c:v>0.18011953210604217</c:v>
                </c:pt>
                <c:pt idx="40">
                  <c:v>0.18338118355356364</c:v>
                </c:pt>
                <c:pt idx="41">
                  <c:v>0.18776244552961463</c:v>
                </c:pt>
                <c:pt idx="42">
                  <c:v>0.19088361211917754</c:v>
                </c:pt>
                <c:pt idx="43">
                  <c:v>0.19466364667455832</c:v>
                </c:pt>
                <c:pt idx="44">
                  <c:v>0.1986263667640005</c:v>
                </c:pt>
                <c:pt idx="45">
                  <c:v>0.20022174150248401</c:v>
                </c:pt>
                <c:pt idx="46">
                  <c:v>0.20467516740789446</c:v>
                </c:pt>
                <c:pt idx="47">
                  <c:v>0.20686698389112135</c:v>
                </c:pt>
                <c:pt idx="48">
                  <c:v>0.21513059135750168</c:v>
                </c:pt>
                <c:pt idx="49">
                  <c:v>0.2199897864503994</c:v>
                </c:pt>
                <c:pt idx="50">
                  <c:v>0.2209986144578612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606-43D0-91B0-31667AC3FF12}"/>
            </c:ext>
          </c:extLst>
        </c:ser>
        <c:ser>
          <c:idx val="2"/>
          <c:order val="2"/>
          <c:tx>
            <c:strRef>
              <c:f>'1_UK stats HDVs'!$C$37</c:f>
              <c:strCache>
                <c:ptCount val="1"/>
                <c:pt idx="0">
                  <c:v>UK aggregate road vehicle exergy efficiency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val>
            <c:numRef>
              <c:f>'1_UK stats HDVs'!$D$37:$BB$37</c:f>
              <c:numCache>
                <c:formatCode>0.0%</c:formatCode>
                <c:ptCount val="51"/>
                <c:pt idx="0">
                  <c:v>0.1476323969983431</c:v>
                </c:pt>
                <c:pt idx="1">
                  <c:v>0.14737477549663264</c:v>
                </c:pt>
                <c:pt idx="2">
                  <c:v>0.14720665278984113</c:v>
                </c:pt>
                <c:pt idx="3">
                  <c:v>0.14693632282650526</c:v>
                </c:pt>
                <c:pt idx="4">
                  <c:v>0.14699474954390571</c:v>
                </c:pt>
                <c:pt idx="5">
                  <c:v>0.14712766261102131</c:v>
                </c:pt>
                <c:pt idx="6">
                  <c:v>0.14715526432209963</c:v>
                </c:pt>
                <c:pt idx="7">
                  <c:v>0.14721276536470468</c:v>
                </c:pt>
                <c:pt idx="8">
                  <c:v>0.14714253099884542</c:v>
                </c:pt>
                <c:pt idx="9">
                  <c:v>0.1470219170470678</c:v>
                </c:pt>
                <c:pt idx="10">
                  <c:v>0.14731448983110493</c:v>
                </c:pt>
                <c:pt idx="11">
                  <c:v>0.14826435389099227</c:v>
                </c:pt>
                <c:pt idx="12">
                  <c:v>0.1482838052638546</c:v>
                </c:pt>
                <c:pt idx="13">
                  <c:v>0.14655603255932026</c:v>
                </c:pt>
                <c:pt idx="14">
                  <c:v>0.14742886447929587</c:v>
                </c:pt>
                <c:pt idx="15">
                  <c:v>0.15038395704616864</c:v>
                </c:pt>
                <c:pt idx="16">
                  <c:v>0.15097919176027386</c:v>
                </c:pt>
                <c:pt idx="17">
                  <c:v>0.14959403190149748</c:v>
                </c:pt>
                <c:pt idx="18">
                  <c:v>0.14839958180534024</c:v>
                </c:pt>
                <c:pt idx="19">
                  <c:v>0.14576692464765056</c:v>
                </c:pt>
                <c:pt idx="20">
                  <c:v>0.15103438421765719</c:v>
                </c:pt>
                <c:pt idx="21">
                  <c:v>0.15624280973589752</c:v>
                </c:pt>
                <c:pt idx="22">
                  <c:v>0.15560588612679752</c:v>
                </c:pt>
                <c:pt idx="23">
                  <c:v>0.15353979730006817</c:v>
                </c:pt>
                <c:pt idx="24">
                  <c:v>0.1536492079551918</c:v>
                </c:pt>
                <c:pt idx="25">
                  <c:v>0.15373765628213434</c:v>
                </c:pt>
                <c:pt idx="26">
                  <c:v>0.15150021822975207</c:v>
                </c:pt>
                <c:pt idx="27">
                  <c:v>0.15544832173340575</c:v>
                </c:pt>
                <c:pt idx="28">
                  <c:v>0.15666457792038513</c:v>
                </c:pt>
                <c:pt idx="29">
                  <c:v>0.1620630073876142</c:v>
                </c:pt>
                <c:pt idx="30">
                  <c:v>0.16188834975884048</c:v>
                </c:pt>
                <c:pt idx="31">
                  <c:v>0.16380333004182024</c:v>
                </c:pt>
                <c:pt idx="32">
                  <c:v>0.16341799076027963</c:v>
                </c:pt>
                <c:pt idx="33">
                  <c:v>0.16363943196063907</c:v>
                </c:pt>
                <c:pt idx="34">
                  <c:v>0.16761797735091172</c:v>
                </c:pt>
                <c:pt idx="35">
                  <c:v>0.17280925964951135</c:v>
                </c:pt>
                <c:pt idx="36">
                  <c:v>0.17235572056943183</c:v>
                </c:pt>
                <c:pt idx="37">
                  <c:v>0.17449822558383216</c:v>
                </c:pt>
                <c:pt idx="38">
                  <c:v>0.17826846659643902</c:v>
                </c:pt>
                <c:pt idx="39">
                  <c:v>0.18046989220059995</c:v>
                </c:pt>
                <c:pt idx="40">
                  <c:v>0.18181702415271833</c:v>
                </c:pt>
                <c:pt idx="41">
                  <c:v>0.18471155931589189</c:v>
                </c:pt>
                <c:pt idx="42">
                  <c:v>0.18622494512141635</c:v>
                </c:pt>
                <c:pt idx="43">
                  <c:v>0.18886851144236205</c:v>
                </c:pt>
                <c:pt idx="44">
                  <c:v>0.19103382672555214</c:v>
                </c:pt>
                <c:pt idx="45">
                  <c:v>0.19160348473924482</c:v>
                </c:pt>
                <c:pt idx="46">
                  <c:v>0.19488977526536094</c:v>
                </c:pt>
                <c:pt idx="47">
                  <c:v>0.19610847920359231</c:v>
                </c:pt>
                <c:pt idx="48">
                  <c:v>0.20164895615601192</c:v>
                </c:pt>
                <c:pt idx="49">
                  <c:v>0.2059314386862432</c:v>
                </c:pt>
                <c:pt idx="50">
                  <c:v>0.20793225118918743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606-43D0-91B0-31667AC3FF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109632"/>
        <c:axId val="517111168"/>
      </c:lineChart>
      <c:catAx>
        <c:axId val="5171096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111168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11116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exergy efficiency %</a:t>
                </a:r>
              </a:p>
            </c:rich>
          </c:tx>
          <c:overlay val="0"/>
        </c:title>
        <c:numFmt formatCode="0.0%" sourceLinked="0"/>
        <c:majorTickMark val="out"/>
        <c:minorTickMark val="none"/>
        <c:tickLblPos val="nextTo"/>
        <c:crossAx val="51710963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chart" Target="../charts/chart17.xml"/><Relationship Id="rId4" Type="http://schemas.openxmlformats.org/officeDocument/2006/relationships/image" Target="../media/image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tmp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9.xml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tmp"/><Relationship Id="rId1" Type="http://schemas.openxmlformats.org/officeDocument/2006/relationships/image" Target="../media/image39.tmp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0.xml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5" Type="http://schemas.openxmlformats.org/officeDocument/2006/relationships/chart" Target="../charts/chart22.xml"/><Relationship Id="rId4" Type="http://schemas.openxmlformats.org/officeDocument/2006/relationships/image" Target="../media/image5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image" Target="../media/image1.tmp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chart" Target="../charts/chart24.xml"/><Relationship Id="rId5" Type="http://schemas.openxmlformats.org/officeDocument/2006/relationships/chart" Target="../charts/chart23.xml"/><Relationship Id="rId4" Type="http://schemas.openxmlformats.org/officeDocument/2006/relationships/image" Target="../media/image54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tmp"/><Relationship Id="rId7" Type="http://schemas.openxmlformats.org/officeDocument/2006/relationships/image" Target="../media/image8.png"/><Relationship Id="rId2" Type="http://schemas.openxmlformats.org/officeDocument/2006/relationships/image" Target="../media/image3.tmp"/><Relationship Id="rId1" Type="http://schemas.openxmlformats.org/officeDocument/2006/relationships/image" Target="../media/image2.tmp"/><Relationship Id="rId6" Type="http://schemas.openxmlformats.org/officeDocument/2006/relationships/image" Target="../media/image7.png"/><Relationship Id="rId5" Type="http://schemas.openxmlformats.org/officeDocument/2006/relationships/image" Target="../media/image6.tmp"/><Relationship Id="rId4" Type="http://schemas.openxmlformats.org/officeDocument/2006/relationships/image" Target="../media/image5.tmp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1.xml"/><Relationship Id="rId13" Type="http://schemas.openxmlformats.org/officeDocument/2006/relationships/image" Target="../media/image11.tmp"/><Relationship Id="rId3" Type="http://schemas.openxmlformats.org/officeDocument/2006/relationships/chart" Target="../charts/chart6.xml"/><Relationship Id="rId7" Type="http://schemas.openxmlformats.org/officeDocument/2006/relationships/chart" Target="../charts/chart10.xml"/><Relationship Id="rId12" Type="http://schemas.openxmlformats.org/officeDocument/2006/relationships/image" Target="../media/image10.tmp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6" Type="http://schemas.openxmlformats.org/officeDocument/2006/relationships/chart" Target="../charts/chart9.xml"/><Relationship Id="rId11" Type="http://schemas.openxmlformats.org/officeDocument/2006/relationships/image" Target="../media/image9.tmp"/><Relationship Id="rId5" Type="http://schemas.openxmlformats.org/officeDocument/2006/relationships/chart" Target="../charts/chart8.xml"/><Relationship Id="rId15" Type="http://schemas.openxmlformats.org/officeDocument/2006/relationships/image" Target="../media/image13.tmp"/><Relationship Id="rId10" Type="http://schemas.openxmlformats.org/officeDocument/2006/relationships/chart" Target="../charts/chart13.xml"/><Relationship Id="rId4" Type="http://schemas.openxmlformats.org/officeDocument/2006/relationships/chart" Target="../charts/chart7.xml"/><Relationship Id="rId9" Type="http://schemas.openxmlformats.org/officeDocument/2006/relationships/chart" Target="../charts/chart12.xml"/><Relationship Id="rId14" Type="http://schemas.openxmlformats.org/officeDocument/2006/relationships/image" Target="../media/image12.tmp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tmp"/><Relationship Id="rId1" Type="http://schemas.openxmlformats.org/officeDocument/2006/relationships/image" Target="../media/image16.tmp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4.xml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chart" Target="../charts/chart1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14</xdr:row>
      <xdr:rowOff>0</xdr:rowOff>
    </xdr:from>
    <xdr:to>
      <xdr:col>8</xdr:col>
      <xdr:colOff>178593</xdr:colOff>
      <xdr:row>35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136072</xdr:colOff>
      <xdr:row>2</xdr:row>
      <xdr:rowOff>127000</xdr:rowOff>
    </xdr:from>
    <xdr:to>
      <xdr:col>11</xdr:col>
      <xdr:colOff>478972</xdr:colOff>
      <xdr:row>12</xdr:row>
      <xdr:rowOff>97843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99167" y="520095"/>
          <a:ext cx="7826829" cy="1936319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14</xdr:row>
      <xdr:rowOff>88900</xdr:rowOff>
    </xdr:from>
    <xdr:to>
      <xdr:col>10</xdr:col>
      <xdr:colOff>88900</xdr:colOff>
      <xdr:row>31</xdr:row>
      <xdr:rowOff>101237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2933700"/>
          <a:ext cx="7772400" cy="3466737"/>
        </a:xfrm>
        <a:prstGeom prst="rect">
          <a:avLst/>
        </a:prstGeom>
      </xdr:spPr>
    </xdr:pic>
    <xdr:clientData/>
  </xdr:twoCellAnchor>
  <xdr:twoCellAnchor editAs="oneCell">
    <xdr:from>
      <xdr:col>10</xdr:col>
      <xdr:colOff>139700</xdr:colOff>
      <xdr:row>12</xdr:row>
      <xdr:rowOff>152400</xdr:rowOff>
    </xdr:from>
    <xdr:to>
      <xdr:col>18</xdr:col>
      <xdr:colOff>286053</xdr:colOff>
      <xdr:row>38</xdr:row>
      <xdr:rowOff>117633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94700" y="2590800"/>
          <a:ext cx="7772400" cy="5248433"/>
        </a:xfrm>
        <a:prstGeom prst="rect">
          <a:avLst/>
        </a:prstGeom>
      </xdr:spPr>
    </xdr:pic>
    <xdr:clientData/>
  </xdr:twoCellAnchor>
  <xdr:twoCellAnchor editAs="oneCell">
    <xdr:from>
      <xdr:col>0</xdr:col>
      <xdr:colOff>393700</xdr:colOff>
      <xdr:row>33</xdr:row>
      <xdr:rowOff>0</xdr:rowOff>
    </xdr:from>
    <xdr:to>
      <xdr:col>9</xdr:col>
      <xdr:colOff>736600</xdr:colOff>
      <xdr:row>60</xdr:row>
      <xdr:rowOff>181473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93700" y="6705600"/>
          <a:ext cx="7772400" cy="5667873"/>
        </a:xfrm>
        <a:prstGeom prst="rect">
          <a:avLst/>
        </a:prstGeom>
      </xdr:spPr>
    </xdr:pic>
    <xdr:clientData/>
  </xdr:twoCellAnchor>
  <xdr:twoCellAnchor>
    <xdr:from>
      <xdr:col>14</xdr:col>
      <xdr:colOff>253999</xdr:colOff>
      <xdr:row>40</xdr:row>
      <xdr:rowOff>140305</xdr:rowOff>
    </xdr:from>
    <xdr:to>
      <xdr:col>19</xdr:col>
      <xdr:colOff>668261</xdr:colOff>
      <xdr:row>54</xdr:row>
      <xdr:rowOff>131839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584200</xdr:colOff>
      <xdr:row>2</xdr:row>
      <xdr:rowOff>0</xdr:rowOff>
    </xdr:from>
    <xdr:to>
      <xdr:col>9</xdr:col>
      <xdr:colOff>215900</xdr:colOff>
      <xdr:row>16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09700" y="406400"/>
          <a:ext cx="6235700" cy="29083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215900</xdr:colOff>
      <xdr:row>17</xdr:row>
      <xdr:rowOff>0</xdr:rowOff>
    </xdr:from>
    <xdr:to>
      <xdr:col>10</xdr:col>
      <xdr:colOff>558800</xdr:colOff>
      <xdr:row>41</xdr:row>
      <xdr:rowOff>178699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1400" y="3454400"/>
          <a:ext cx="7772400" cy="5055499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635000</xdr:colOff>
      <xdr:row>44</xdr:row>
      <xdr:rowOff>76200</xdr:rowOff>
    </xdr:from>
    <xdr:to>
      <xdr:col>10</xdr:col>
      <xdr:colOff>152400</xdr:colOff>
      <xdr:row>69</xdr:row>
      <xdr:rowOff>138840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35000" y="9017000"/>
          <a:ext cx="7772400" cy="514264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774700</xdr:colOff>
      <xdr:row>3</xdr:row>
      <xdr:rowOff>25400</xdr:rowOff>
    </xdr:from>
    <xdr:to>
      <xdr:col>10</xdr:col>
      <xdr:colOff>292100</xdr:colOff>
      <xdr:row>12</xdr:row>
      <xdr:rowOff>60968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4700" y="635000"/>
          <a:ext cx="7772400" cy="1864368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76200</xdr:rowOff>
    </xdr:from>
    <xdr:to>
      <xdr:col>9</xdr:col>
      <xdr:colOff>685800</xdr:colOff>
      <xdr:row>39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9500" y="2717800"/>
          <a:ext cx="7035800" cy="5308600"/>
        </a:xfrm>
        <a:prstGeom prst="rect">
          <a:avLst/>
        </a:prstGeom>
      </xdr:spPr>
    </xdr:pic>
    <xdr:clientData/>
  </xdr:twoCellAnchor>
  <xdr:twoCellAnchor>
    <xdr:from>
      <xdr:col>10</xdr:col>
      <xdr:colOff>349250</xdr:colOff>
      <xdr:row>25</xdr:row>
      <xdr:rowOff>139700</xdr:rowOff>
    </xdr:from>
    <xdr:to>
      <xdr:col>14</xdr:col>
      <xdr:colOff>565150</xdr:colOff>
      <xdr:row>39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762000</xdr:colOff>
      <xdr:row>4</xdr:row>
      <xdr:rowOff>139700</xdr:rowOff>
    </xdr:from>
    <xdr:to>
      <xdr:col>11</xdr:col>
      <xdr:colOff>279400</xdr:colOff>
      <xdr:row>12</xdr:row>
      <xdr:rowOff>99742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7500" y="952500"/>
          <a:ext cx="7772400" cy="15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711200</xdr:colOff>
      <xdr:row>13</xdr:row>
      <xdr:rowOff>101600</xdr:rowOff>
    </xdr:from>
    <xdr:to>
      <xdr:col>11</xdr:col>
      <xdr:colOff>228600</xdr:colOff>
      <xdr:row>29</xdr:row>
      <xdr:rowOff>164141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6700" y="2743200"/>
          <a:ext cx="7772400" cy="3313741"/>
        </a:xfrm>
        <a:prstGeom prst="rect">
          <a:avLst/>
        </a:prstGeom>
      </xdr:spPr>
    </xdr:pic>
    <xdr:clientData/>
  </xdr:twoCellAnchor>
  <xdr:twoCellAnchor editAs="oneCell">
    <xdr:from>
      <xdr:col>1</xdr:col>
      <xdr:colOff>698500</xdr:colOff>
      <xdr:row>56</xdr:row>
      <xdr:rowOff>190500</xdr:rowOff>
    </xdr:from>
    <xdr:to>
      <xdr:col>8</xdr:col>
      <xdr:colOff>796925</xdr:colOff>
      <xdr:row>83</xdr:row>
      <xdr:rowOff>168275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125" y="11391900"/>
          <a:ext cx="5765800" cy="53784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8</xdr:col>
      <xdr:colOff>105468</xdr:colOff>
      <xdr:row>57</xdr:row>
      <xdr:rowOff>67354</xdr:rowOff>
    </xdr:to>
    <xdr:pic>
      <xdr:nvPicPr>
        <xdr:cNvPr id="5" name="Picture 4" descr="Screen Clipping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0" y="6600825"/>
          <a:ext cx="4963218" cy="486795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25400</xdr:rowOff>
    </xdr:from>
    <xdr:to>
      <xdr:col>8</xdr:col>
      <xdr:colOff>355600</xdr:colOff>
      <xdr:row>38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67000"/>
          <a:ext cx="7480300" cy="5105400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41</xdr:row>
      <xdr:rowOff>38100</xdr:rowOff>
    </xdr:from>
    <xdr:to>
      <xdr:col>9</xdr:col>
      <xdr:colOff>88900</xdr:colOff>
      <xdr:row>63</xdr:row>
      <xdr:rowOff>9071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700" y="8369300"/>
          <a:ext cx="7772400" cy="4441371"/>
        </a:xfrm>
        <a:prstGeom prst="rect">
          <a:avLst/>
        </a:prstGeom>
      </xdr:spPr>
    </xdr:pic>
    <xdr:clientData/>
  </xdr:twoCellAnchor>
  <xdr:twoCellAnchor>
    <xdr:from>
      <xdr:col>9</xdr:col>
      <xdr:colOff>323850</xdr:colOff>
      <xdr:row>46</xdr:row>
      <xdr:rowOff>139700</xdr:rowOff>
    </xdr:from>
    <xdr:to>
      <xdr:col>14</xdr:col>
      <xdr:colOff>768350</xdr:colOff>
      <xdr:row>60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654050</xdr:colOff>
      <xdr:row>17</xdr:row>
      <xdr:rowOff>133350</xdr:rowOff>
    </xdr:from>
    <xdr:to>
      <xdr:col>11</xdr:col>
      <xdr:colOff>178149</xdr:colOff>
      <xdr:row>38</xdr:row>
      <xdr:rowOff>6556</xdr:rowOff>
    </xdr:to>
    <xdr:pic>
      <xdr:nvPicPr>
        <xdr:cNvPr id="2" name="Picture 1" descr="Screen Clipping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050" y="3479800"/>
          <a:ext cx="6788499" cy="40070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11</xdr:col>
      <xdr:colOff>533767</xdr:colOff>
      <xdr:row>16</xdr:row>
      <xdr:rowOff>158910</xdr:rowOff>
    </xdr:to>
    <xdr:pic>
      <xdr:nvPicPr>
        <xdr:cNvPr id="3" name="Picture 2" descr="Screen Clipping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" y="196850"/>
          <a:ext cx="7137767" cy="311166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10</xdr:col>
      <xdr:colOff>190500</xdr:colOff>
      <xdr:row>18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812800"/>
          <a:ext cx="7620000" cy="2844800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508000</xdr:colOff>
      <xdr:row>18</xdr:row>
      <xdr:rowOff>165100</xdr:rowOff>
    </xdr:from>
    <xdr:to>
      <xdr:col>8</xdr:col>
      <xdr:colOff>762000</xdr:colOff>
      <xdr:row>46</xdr:row>
      <xdr:rowOff>177800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9000" y="3822700"/>
          <a:ext cx="5207000" cy="57023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3</xdr:row>
      <xdr:rowOff>76200</xdr:rowOff>
    </xdr:from>
    <xdr:to>
      <xdr:col>10</xdr:col>
      <xdr:colOff>355600</xdr:colOff>
      <xdr:row>9</xdr:row>
      <xdr:rowOff>91243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8200" y="685800"/>
          <a:ext cx="7772400" cy="1234243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</xdr:row>
      <xdr:rowOff>88900</xdr:rowOff>
    </xdr:from>
    <xdr:to>
      <xdr:col>8</xdr:col>
      <xdr:colOff>495300</xdr:colOff>
      <xdr:row>58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6300" y="2324100"/>
          <a:ext cx="4953000" cy="9563100"/>
        </a:xfrm>
        <a:prstGeom prst="rect">
          <a:avLst/>
        </a:prstGeom>
      </xdr:spPr>
    </xdr:pic>
    <xdr:clientData/>
  </xdr:twoCellAnchor>
  <xdr:twoCellAnchor>
    <xdr:from>
      <xdr:col>9</xdr:col>
      <xdr:colOff>158750</xdr:colOff>
      <xdr:row>20</xdr:row>
      <xdr:rowOff>50800</xdr:rowOff>
    </xdr:from>
    <xdr:to>
      <xdr:col>14</xdr:col>
      <xdr:colOff>44450</xdr:colOff>
      <xdr:row>33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139700</xdr:colOff>
      <xdr:row>3</xdr:row>
      <xdr:rowOff>137160</xdr:rowOff>
    </xdr:from>
    <xdr:to>
      <xdr:col>8</xdr:col>
      <xdr:colOff>139700</xdr:colOff>
      <xdr:row>13</xdr:row>
      <xdr:rowOff>93202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700" y="746760"/>
          <a:ext cx="7752080" cy="1988042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16</xdr:row>
      <xdr:rowOff>152400</xdr:rowOff>
    </xdr:from>
    <xdr:to>
      <xdr:col>10</xdr:col>
      <xdr:colOff>381000</xdr:colOff>
      <xdr:row>36</xdr:row>
      <xdr:rowOff>26833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2000" y="3403600"/>
          <a:ext cx="7772400" cy="3938433"/>
        </a:xfrm>
        <a:prstGeom prst="rect">
          <a:avLst/>
        </a:prstGeom>
      </xdr:spPr>
    </xdr:pic>
    <xdr:clientData/>
  </xdr:twoCellAnchor>
  <xdr:twoCellAnchor>
    <xdr:from>
      <xdr:col>4</xdr:col>
      <xdr:colOff>147320</xdr:colOff>
      <xdr:row>48</xdr:row>
      <xdr:rowOff>172720</xdr:rowOff>
    </xdr:from>
    <xdr:to>
      <xdr:col>8</xdr:col>
      <xdr:colOff>259080</xdr:colOff>
      <xdr:row>62</xdr:row>
      <xdr:rowOff>71120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14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1</xdr:row>
      <xdr:rowOff>177800</xdr:rowOff>
    </xdr:from>
    <xdr:to>
      <xdr:col>8</xdr:col>
      <xdr:colOff>762000</xdr:colOff>
      <xdr:row>13</xdr:row>
      <xdr:rowOff>182423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381000"/>
          <a:ext cx="7772400" cy="2443023"/>
        </a:xfrm>
        <a:prstGeom prst="rect">
          <a:avLst/>
        </a:prstGeom>
      </xdr:spPr>
    </xdr:pic>
    <xdr:clientData/>
  </xdr:twoCellAnchor>
  <xdr:twoCellAnchor editAs="oneCell">
    <xdr:from>
      <xdr:col>0</xdr:col>
      <xdr:colOff>469900</xdr:colOff>
      <xdr:row>14</xdr:row>
      <xdr:rowOff>12700</xdr:rowOff>
    </xdr:from>
    <xdr:to>
      <xdr:col>8</xdr:col>
      <xdr:colOff>584200</xdr:colOff>
      <xdr:row>39</xdr:row>
      <xdr:rowOff>150687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9900" y="2857500"/>
          <a:ext cx="7772400" cy="5217987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40</xdr:row>
      <xdr:rowOff>38100</xdr:rowOff>
    </xdr:from>
    <xdr:to>
      <xdr:col>9</xdr:col>
      <xdr:colOff>190500</xdr:colOff>
      <xdr:row>66</xdr:row>
      <xdr:rowOff>3948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1700" y="8166100"/>
          <a:ext cx="7772400" cy="5249048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66</xdr:row>
      <xdr:rowOff>165100</xdr:rowOff>
    </xdr:from>
    <xdr:to>
      <xdr:col>9</xdr:col>
      <xdr:colOff>355600</xdr:colOff>
      <xdr:row>91</xdr:row>
      <xdr:rowOff>34192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6800" y="13576300"/>
          <a:ext cx="7772400" cy="4949092"/>
        </a:xfrm>
        <a:prstGeom prst="rect">
          <a:avLst/>
        </a:prstGeom>
      </xdr:spPr>
    </xdr:pic>
    <xdr:clientData/>
  </xdr:twoCellAnchor>
  <xdr:twoCellAnchor>
    <xdr:from>
      <xdr:col>4</xdr:col>
      <xdr:colOff>666750</xdr:colOff>
      <xdr:row>93</xdr:row>
      <xdr:rowOff>0</xdr:rowOff>
    </xdr:from>
    <xdr:to>
      <xdr:col>10</xdr:col>
      <xdr:colOff>285750</xdr:colOff>
      <xdr:row>106</xdr:row>
      <xdr:rowOff>101600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80</xdr:row>
      <xdr:rowOff>142875</xdr:rowOff>
    </xdr:from>
    <xdr:to>
      <xdr:col>2</xdr:col>
      <xdr:colOff>1511757</xdr:colOff>
      <xdr:row>105</xdr:row>
      <xdr:rowOff>57151</xdr:rowOff>
    </xdr:to>
    <xdr:pic>
      <xdr:nvPicPr>
        <xdr:cNvPr id="2" name="Picture 1" descr="Screen Clippi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16532225"/>
          <a:ext cx="3141590" cy="4518026"/>
        </a:xfrm>
        <a:prstGeom prst="rect">
          <a:avLst/>
        </a:prstGeom>
      </xdr:spPr>
    </xdr:pic>
    <xdr:clientData/>
  </xdr:twoCellAnchor>
  <xdr:twoCellAnchor>
    <xdr:from>
      <xdr:col>6</xdr:col>
      <xdr:colOff>88900</xdr:colOff>
      <xdr:row>66</xdr:row>
      <xdr:rowOff>158750</xdr:rowOff>
    </xdr:from>
    <xdr:to>
      <xdr:col>18</xdr:col>
      <xdr:colOff>571500</xdr:colOff>
      <xdr:row>87</xdr:row>
      <xdr:rowOff>25400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430389</xdr:colOff>
      <xdr:row>0</xdr:row>
      <xdr:rowOff>64206</xdr:rowOff>
    </xdr:from>
    <xdr:to>
      <xdr:col>12</xdr:col>
      <xdr:colOff>437444</xdr:colOff>
      <xdr:row>20</xdr:row>
      <xdr:rowOff>21167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332740</xdr:colOff>
      <xdr:row>3</xdr:row>
      <xdr:rowOff>33020</xdr:rowOff>
    </xdr:from>
    <xdr:to>
      <xdr:col>11</xdr:col>
      <xdr:colOff>281940</xdr:colOff>
      <xdr:row>12</xdr:row>
      <xdr:rowOff>198120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01620" y="642620"/>
          <a:ext cx="6532880" cy="199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596900</xdr:colOff>
      <xdr:row>13</xdr:row>
      <xdr:rowOff>12700</xdr:rowOff>
    </xdr:from>
    <xdr:to>
      <xdr:col>10</xdr:col>
      <xdr:colOff>88900</xdr:colOff>
      <xdr:row>33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47900" y="2654300"/>
          <a:ext cx="6096000" cy="4203700"/>
        </a:xfrm>
        <a:prstGeom prst="rect">
          <a:avLst/>
        </a:prstGeom>
      </xdr:spPr>
    </xdr:pic>
    <xdr:clientData/>
  </xdr:twoCellAnchor>
  <xdr:twoCellAnchor editAs="oneCell">
    <xdr:from>
      <xdr:col>2</xdr:col>
      <xdr:colOff>584200</xdr:colOff>
      <xdr:row>34</xdr:row>
      <xdr:rowOff>38100</xdr:rowOff>
    </xdr:from>
    <xdr:to>
      <xdr:col>10</xdr:col>
      <xdr:colOff>355600</xdr:colOff>
      <xdr:row>55</xdr:row>
      <xdr:rowOff>177800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5200" y="6946900"/>
          <a:ext cx="6375400" cy="4406900"/>
        </a:xfrm>
        <a:prstGeom prst="rect">
          <a:avLst/>
        </a:prstGeom>
      </xdr:spPr>
    </xdr:pic>
    <xdr:clientData/>
  </xdr:twoCellAnchor>
  <xdr:twoCellAnchor editAs="oneCell">
    <xdr:from>
      <xdr:col>2</xdr:col>
      <xdr:colOff>482600</xdr:colOff>
      <xdr:row>55</xdr:row>
      <xdr:rowOff>139700</xdr:rowOff>
    </xdr:from>
    <xdr:to>
      <xdr:col>10</xdr:col>
      <xdr:colOff>342900</xdr:colOff>
      <xdr:row>90</xdr:row>
      <xdr:rowOff>12700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33600" y="11315700"/>
          <a:ext cx="6464300" cy="6985000"/>
        </a:xfrm>
        <a:prstGeom prst="rect">
          <a:avLst/>
        </a:prstGeom>
      </xdr:spPr>
    </xdr:pic>
    <xdr:clientData/>
  </xdr:twoCellAnchor>
  <xdr:twoCellAnchor>
    <xdr:from>
      <xdr:col>10</xdr:col>
      <xdr:colOff>812800</xdr:colOff>
      <xdr:row>64</xdr:row>
      <xdr:rowOff>122767</xdr:rowOff>
    </xdr:from>
    <xdr:to>
      <xdr:col>14</xdr:col>
      <xdr:colOff>220133</xdr:colOff>
      <xdr:row>78</xdr:row>
      <xdr:rowOff>21167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16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11</xdr:col>
      <xdr:colOff>533399</xdr:colOff>
      <xdr:row>18</xdr:row>
      <xdr:rowOff>165100</xdr:rowOff>
    </xdr:from>
    <xdr:to>
      <xdr:col>14</xdr:col>
      <xdr:colOff>770466</xdr:colOff>
      <xdr:row>32</xdr:row>
      <xdr:rowOff>63500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16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520700</xdr:colOff>
      <xdr:row>2</xdr:row>
      <xdr:rowOff>25400</xdr:rowOff>
    </xdr:from>
    <xdr:to>
      <xdr:col>10</xdr:col>
      <xdr:colOff>50800</xdr:colOff>
      <xdr:row>18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6200" y="431800"/>
          <a:ext cx="6959600" cy="3263900"/>
        </a:xfrm>
        <a:prstGeom prst="rect">
          <a:avLst/>
        </a:prstGeom>
      </xdr:spPr>
    </xdr:pic>
    <xdr:clientData/>
  </xdr:twoCellAnchor>
  <xdr:twoCellAnchor editAs="oneCell">
    <xdr:from>
      <xdr:col>1</xdr:col>
      <xdr:colOff>723900</xdr:colOff>
      <xdr:row>19</xdr:row>
      <xdr:rowOff>0</xdr:rowOff>
    </xdr:from>
    <xdr:to>
      <xdr:col>11</xdr:col>
      <xdr:colOff>241300</xdr:colOff>
      <xdr:row>57</xdr:row>
      <xdr:rowOff>39302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49400" y="3860800"/>
          <a:ext cx="7772400" cy="776090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165100</xdr:colOff>
      <xdr:row>1</xdr:row>
      <xdr:rowOff>177800</xdr:rowOff>
    </xdr:from>
    <xdr:to>
      <xdr:col>9</xdr:col>
      <xdr:colOff>800100</xdr:colOff>
      <xdr:row>10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0600" y="381000"/>
          <a:ext cx="7239000" cy="1739900"/>
        </a:xfrm>
        <a:prstGeom prst="rect">
          <a:avLst/>
        </a:prstGeom>
      </xdr:spPr>
    </xdr:pic>
    <xdr:clientData/>
  </xdr:twoCellAnchor>
  <xdr:twoCellAnchor editAs="oneCell">
    <xdr:from>
      <xdr:col>0</xdr:col>
      <xdr:colOff>698500</xdr:colOff>
      <xdr:row>12</xdr:row>
      <xdr:rowOff>0</xdr:rowOff>
    </xdr:from>
    <xdr:to>
      <xdr:col>10</xdr:col>
      <xdr:colOff>215900</xdr:colOff>
      <xdr:row>39</xdr:row>
      <xdr:rowOff>105254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8500" y="2438400"/>
          <a:ext cx="7772400" cy="55916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457200</xdr:colOff>
      <xdr:row>2</xdr:row>
      <xdr:rowOff>127000</xdr:rowOff>
    </xdr:from>
    <xdr:to>
      <xdr:col>10</xdr:col>
      <xdr:colOff>190500</xdr:colOff>
      <xdr:row>9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2700" y="533400"/>
          <a:ext cx="7162800" cy="13716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469900</xdr:colOff>
      <xdr:row>6</xdr:row>
      <xdr:rowOff>88900</xdr:rowOff>
    </xdr:from>
    <xdr:to>
      <xdr:col>10</xdr:col>
      <xdr:colOff>812800</xdr:colOff>
      <xdr:row>12</xdr:row>
      <xdr:rowOff>163478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5400" y="1308100"/>
          <a:ext cx="7772400" cy="1293778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279400</xdr:colOff>
      <xdr:row>3</xdr:row>
      <xdr:rowOff>0</xdr:rowOff>
    </xdr:from>
    <xdr:to>
      <xdr:col>8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4900" y="609600"/>
          <a:ext cx="6273800" cy="21971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304800</xdr:colOff>
      <xdr:row>1</xdr:row>
      <xdr:rowOff>152400</xdr:rowOff>
    </xdr:from>
    <xdr:to>
      <xdr:col>9</xdr:col>
      <xdr:colOff>266700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" y="355600"/>
          <a:ext cx="7391400" cy="25273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15</xdr:row>
      <xdr:rowOff>114300</xdr:rowOff>
    </xdr:from>
    <xdr:to>
      <xdr:col>6</xdr:col>
      <xdr:colOff>495300</xdr:colOff>
      <xdr:row>34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" y="3162300"/>
          <a:ext cx="4495800" cy="3746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76200</xdr:colOff>
      <xdr:row>16</xdr:row>
      <xdr:rowOff>113673</xdr:rowOff>
    </xdr:from>
    <xdr:to>
      <xdr:col>7</xdr:col>
      <xdr:colOff>571500</xdr:colOff>
      <xdr:row>29</xdr:row>
      <xdr:rowOff>156913</xdr:rowOff>
    </xdr:to>
    <xdr:pic>
      <xdr:nvPicPr>
        <xdr:cNvPr id="2" name="Picture 1" descr="Screen Clippi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600" y="310523"/>
          <a:ext cx="4457700" cy="2602290"/>
        </a:xfrm>
        <a:prstGeom prst="rect">
          <a:avLst/>
        </a:prstGeom>
      </xdr:spPr>
    </xdr:pic>
    <xdr:clientData/>
  </xdr:twoCellAnchor>
  <xdr:twoCellAnchor editAs="oneCell">
    <xdr:from>
      <xdr:col>8</xdr:col>
      <xdr:colOff>146050</xdr:colOff>
      <xdr:row>16</xdr:row>
      <xdr:rowOff>12700</xdr:rowOff>
    </xdr:from>
    <xdr:to>
      <xdr:col>18</xdr:col>
      <xdr:colOff>332</xdr:colOff>
      <xdr:row>28</xdr:row>
      <xdr:rowOff>108076</xdr:rowOff>
    </xdr:to>
    <xdr:pic>
      <xdr:nvPicPr>
        <xdr:cNvPr id="3" name="Picture 2" descr="Screen Clipping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209550"/>
          <a:ext cx="6458282" cy="24575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10</xdr:col>
      <xdr:colOff>559134</xdr:colOff>
      <xdr:row>50</xdr:row>
      <xdr:rowOff>76386</xdr:rowOff>
    </xdr:to>
    <xdr:pic>
      <xdr:nvPicPr>
        <xdr:cNvPr id="4" name="Picture 3" descr="Screen Clipping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" y="3346450"/>
          <a:ext cx="6502734" cy="3619686"/>
        </a:xfrm>
        <a:prstGeom prst="rect">
          <a:avLst/>
        </a:prstGeom>
      </xdr:spPr>
    </xdr:pic>
    <xdr:clientData/>
  </xdr:twoCellAnchor>
  <xdr:twoCellAnchor editAs="oneCell">
    <xdr:from>
      <xdr:col>11</xdr:col>
      <xdr:colOff>12700</xdr:colOff>
      <xdr:row>32</xdr:row>
      <xdr:rowOff>0</xdr:rowOff>
    </xdr:from>
    <xdr:to>
      <xdr:col>20</xdr:col>
      <xdr:colOff>628987</xdr:colOff>
      <xdr:row>53</xdr:row>
      <xdr:rowOff>63716</xdr:rowOff>
    </xdr:to>
    <xdr:pic>
      <xdr:nvPicPr>
        <xdr:cNvPr id="5" name="Picture 4" descr="Screen Clipping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7100" y="3346450"/>
          <a:ext cx="6559887" cy="4197566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1</xdr:row>
      <xdr:rowOff>196706</xdr:rowOff>
    </xdr:from>
    <xdr:to>
      <xdr:col>8</xdr:col>
      <xdr:colOff>241588</xdr:colOff>
      <xdr:row>15</xdr:row>
      <xdr:rowOff>158910</xdr:rowOff>
    </xdr:to>
    <xdr:pic>
      <xdr:nvPicPr>
        <xdr:cNvPr id="6" name="Picture 5" descr="Screen Clipping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393556"/>
          <a:ext cx="4877088" cy="2718104"/>
        </a:xfrm>
        <a:prstGeom prst="rect">
          <a:avLst/>
        </a:prstGeom>
      </xdr:spPr>
    </xdr:pic>
    <xdr:clientData/>
  </xdr:twoCellAnchor>
  <xdr:twoCellAnchor editAs="oneCell">
    <xdr:from>
      <xdr:col>6</xdr:col>
      <xdr:colOff>352247</xdr:colOff>
      <xdr:row>60</xdr:row>
      <xdr:rowOff>0</xdr:rowOff>
    </xdr:from>
    <xdr:to>
      <xdr:col>13</xdr:col>
      <xdr:colOff>216807</xdr:colOff>
      <xdr:row>76</xdr:row>
      <xdr:rowOff>52659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14647" y="11811000"/>
          <a:ext cx="4487360" cy="32022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12</xdr:col>
      <xdr:colOff>381000</xdr:colOff>
      <xdr:row>111</xdr:row>
      <xdr:rowOff>62640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16929100"/>
          <a:ext cx="7645400" cy="49838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540544</xdr:colOff>
      <xdr:row>52</xdr:row>
      <xdr:rowOff>169069</xdr:rowOff>
    </xdr:from>
    <xdr:to>
      <xdr:col>39</xdr:col>
      <xdr:colOff>378619</xdr:colOff>
      <xdr:row>67</xdr:row>
      <xdr:rowOff>16669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95250</xdr:colOff>
      <xdr:row>52</xdr:row>
      <xdr:rowOff>142875</xdr:rowOff>
    </xdr:from>
    <xdr:to>
      <xdr:col>19</xdr:col>
      <xdr:colOff>352425</xdr:colOff>
      <xdr:row>67</xdr:row>
      <xdr:rowOff>19051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19048</xdr:colOff>
      <xdr:row>66</xdr:row>
      <xdr:rowOff>180975</xdr:rowOff>
    </xdr:from>
    <xdr:to>
      <xdr:col>29</xdr:col>
      <xdr:colOff>600075</xdr:colOff>
      <xdr:row>92</xdr:row>
      <xdr:rowOff>9525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19</xdr:col>
      <xdr:colOff>488156</xdr:colOff>
      <xdr:row>53</xdr:row>
      <xdr:rowOff>121444</xdr:rowOff>
    </xdr:from>
    <xdr:to>
      <xdr:col>29</xdr:col>
      <xdr:colOff>116681</xdr:colOff>
      <xdr:row>69</xdr:row>
      <xdr:rowOff>45244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90487</xdr:colOff>
      <xdr:row>75</xdr:row>
      <xdr:rowOff>166688</xdr:rowOff>
    </xdr:from>
    <xdr:to>
      <xdr:col>19</xdr:col>
      <xdr:colOff>204787</xdr:colOff>
      <xdr:row>89</xdr:row>
      <xdr:rowOff>109538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</xdr:col>
      <xdr:colOff>2609850</xdr:colOff>
      <xdr:row>75</xdr:row>
      <xdr:rowOff>164306</xdr:rowOff>
    </xdr:from>
    <xdr:to>
      <xdr:col>10</xdr:col>
      <xdr:colOff>238125</xdr:colOff>
      <xdr:row>90</xdr:row>
      <xdr:rowOff>50006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75</xdr:row>
      <xdr:rowOff>178594</xdr:rowOff>
    </xdr:from>
    <xdr:to>
      <xdr:col>2</xdr:col>
      <xdr:colOff>2305050</xdr:colOff>
      <xdr:row>90</xdr:row>
      <xdr:rowOff>64294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0</xdr:col>
      <xdr:colOff>176213</xdr:colOff>
      <xdr:row>52</xdr:row>
      <xdr:rowOff>121445</xdr:rowOff>
    </xdr:from>
    <xdr:to>
      <xdr:col>9</xdr:col>
      <xdr:colOff>369095</xdr:colOff>
      <xdr:row>74</xdr:row>
      <xdr:rowOff>71439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40</xdr:col>
      <xdr:colOff>0</xdr:colOff>
      <xdr:row>52</xdr:row>
      <xdr:rowOff>95250</xdr:rowOff>
    </xdr:from>
    <xdr:to>
      <xdr:col>55</xdr:col>
      <xdr:colOff>590550</xdr:colOff>
      <xdr:row>71</xdr:row>
      <xdr:rowOff>161925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40</xdr:col>
      <xdr:colOff>129647</xdr:colOff>
      <xdr:row>0</xdr:row>
      <xdr:rowOff>91281</xdr:rowOff>
    </xdr:from>
    <xdr:to>
      <xdr:col>52</xdr:col>
      <xdr:colOff>70115</xdr:colOff>
      <xdr:row>20</xdr:row>
      <xdr:rowOff>103187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 editAs="oneCell">
    <xdr:from>
      <xdr:col>24</xdr:col>
      <xdr:colOff>486077</xdr:colOff>
      <xdr:row>4</xdr:row>
      <xdr:rowOff>10583</xdr:rowOff>
    </xdr:from>
    <xdr:to>
      <xdr:col>32</xdr:col>
      <xdr:colOff>438149</xdr:colOff>
      <xdr:row>22</xdr:row>
      <xdr:rowOff>36144</xdr:rowOff>
    </xdr:to>
    <xdr:pic>
      <xdr:nvPicPr>
        <xdr:cNvPr id="12" name="Picture 11" descr="Screen Clipping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64777" y="747183"/>
          <a:ext cx="5082872" cy="3378361"/>
        </a:xfrm>
        <a:prstGeom prst="rect">
          <a:avLst/>
        </a:prstGeom>
      </xdr:spPr>
    </xdr:pic>
    <xdr:clientData/>
  </xdr:twoCellAnchor>
  <xdr:twoCellAnchor editAs="oneCell">
    <xdr:from>
      <xdr:col>32</xdr:col>
      <xdr:colOff>455083</xdr:colOff>
      <xdr:row>4</xdr:row>
      <xdr:rowOff>16932</xdr:rowOff>
    </xdr:from>
    <xdr:to>
      <xdr:col>39</xdr:col>
      <xdr:colOff>409104</xdr:colOff>
      <xdr:row>19</xdr:row>
      <xdr:rowOff>181399</xdr:rowOff>
    </xdr:to>
    <xdr:pic>
      <xdr:nvPicPr>
        <xdr:cNvPr id="13" name="Picture 12" descr="Screen Clippin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64583" y="753532"/>
          <a:ext cx="4443471" cy="2952117"/>
        </a:xfrm>
        <a:prstGeom prst="rect">
          <a:avLst/>
        </a:prstGeom>
      </xdr:spPr>
    </xdr:pic>
    <xdr:clientData/>
  </xdr:twoCellAnchor>
  <xdr:twoCellAnchor editAs="oneCell">
    <xdr:from>
      <xdr:col>3</xdr:col>
      <xdr:colOff>190499</xdr:colOff>
      <xdr:row>153</xdr:row>
      <xdr:rowOff>96448</xdr:rowOff>
    </xdr:from>
    <xdr:to>
      <xdr:col>8</xdr:col>
      <xdr:colOff>585106</xdr:colOff>
      <xdr:row>165</xdr:row>
      <xdr:rowOff>76915</xdr:rowOff>
    </xdr:to>
    <xdr:pic>
      <xdr:nvPicPr>
        <xdr:cNvPr id="14" name="Picture 13" descr="Screen Clipping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76949" y="28309498"/>
          <a:ext cx="3588657" cy="2190267"/>
        </a:xfrm>
        <a:prstGeom prst="rect">
          <a:avLst/>
        </a:prstGeom>
      </xdr:spPr>
    </xdr:pic>
    <xdr:clientData/>
  </xdr:twoCellAnchor>
  <xdr:twoCellAnchor editAs="oneCell">
    <xdr:from>
      <xdr:col>9</xdr:col>
      <xdr:colOff>163286</xdr:colOff>
      <xdr:row>153</xdr:row>
      <xdr:rowOff>176893</xdr:rowOff>
    </xdr:from>
    <xdr:to>
      <xdr:col>17</xdr:col>
      <xdr:colOff>596836</xdr:colOff>
      <xdr:row>165</xdr:row>
      <xdr:rowOff>110528</xdr:rowOff>
    </xdr:to>
    <xdr:pic>
      <xdr:nvPicPr>
        <xdr:cNvPr id="15" name="Picture 14" descr="Screen Clipping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85136" y="28389943"/>
          <a:ext cx="6300950" cy="2143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2</xdr:col>
      <xdr:colOff>3170465</xdr:colOff>
      <xdr:row>164</xdr:row>
      <xdr:rowOff>39769</xdr:rowOff>
    </xdr:to>
    <xdr:pic>
      <xdr:nvPicPr>
        <xdr:cNvPr id="16" name="Picture 15" descr="Screen Clipping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581350"/>
          <a:ext cx="4897665" cy="16971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635000</xdr:colOff>
      <xdr:row>2</xdr:row>
      <xdr:rowOff>50800</xdr:rowOff>
    </xdr:from>
    <xdr:to>
      <xdr:col>9</xdr:col>
      <xdr:colOff>431800</xdr:colOff>
      <xdr:row>9</xdr:row>
      <xdr:rowOff>181182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457200"/>
          <a:ext cx="7772400" cy="1552782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12</xdr:row>
      <xdr:rowOff>25400</xdr:rowOff>
    </xdr:from>
    <xdr:to>
      <xdr:col>9</xdr:col>
      <xdr:colOff>254000</xdr:colOff>
      <xdr:row>22</xdr:row>
      <xdr:rowOff>143898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7200" y="2463800"/>
          <a:ext cx="7772400" cy="215049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1</xdr:row>
      <xdr:rowOff>0</xdr:rowOff>
    </xdr:from>
    <xdr:to>
      <xdr:col>9</xdr:col>
      <xdr:colOff>236317</xdr:colOff>
      <xdr:row>18</xdr:row>
      <xdr:rowOff>0</xdr:rowOff>
    </xdr:to>
    <xdr:pic>
      <xdr:nvPicPr>
        <xdr:cNvPr id="2" name="Picture 1" descr="Screen Clippi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200025"/>
          <a:ext cx="6370417" cy="3400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9</xdr:col>
      <xdr:colOff>467652</xdr:colOff>
      <xdr:row>36</xdr:row>
      <xdr:rowOff>95710</xdr:rowOff>
    </xdr:to>
    <xdr:pic>
      <xdr:nvPicPr>
        <xdr:cNvPr id="3" name="Picture 2" descr="Screen Clipping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00500"/>
          <a:ext cx="6639852" cy="329611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457200</xdr:colOff>
      <xdr:row>2</xdr:row>
      <xdr:rowOff>152400</xdr:rowOff>
    </xdr:from>
    <xdr:to>
      <xdr:col>9</xdr:col>
      <xdr:colOff>241300</xdr:colOff>
      <xdr:row>11</xdr:row>
      <xdr:rowOff>161885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" y="558800"/>
          <a:ext cx="7772400" cy="1838285"/>
        </a:xfrm>
        <a:prstGeom prst="rect">
          <a:avLst/>
        </a:prstGeom>
      </xdr:spPr>
    </xdr:pic>
    <xdr:clientData/>
  </xdr:twoCellAnchor>
  <xdr:twoCellAnchor editAs="oneCell">
    <xdr:from>
      <xdr:col>0</xdr:col>
      <xdr:colOff>723900</xdr:colOff>
      <xdr:row>13</xdr:row>
      <xdr:rowOff>165100</xdr:rowOff>
    </xdr:from>
    <xdr:to>
      <xdr:col>9</xdr:col>
      <xdr:colOff>508000</xdr:colOff>
      <xdr:row>45</xdr:row>
      <xdr:rowOff>135798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3900" y="2806700"/>
          <a:ext cx="7772400" cy="6473098"/>
        </a:xfrm>
        <a:prstGeom prst="rect">
          <a:avLst/>
        </a:prstGeom>
      </xdr:spPr>
    </xdr:pic>
    <xdr:clientData/>
  </xdr:twoCellAnchor>
  <xdr:twoCellAnchor>
    <xdr:from>
      <xdr:col>2</xdr:col>
      <xdr:colOff>584200</xdr:colOff>
      <xdr:row>53</xdr:row>
      <xdr:rowOff>101600</xdr:rowOff>
    </xdr:from>
    <xdr:to>
      <xdr:col>7</xdr:col>
      <xdr:colOff>469900</xdr:colOff>
      <xdr:row>67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1</xdr:row>
      <xdr:rowOff>25400</xdr:rowOff>
    </xdr:from>
    <xdr:to>
      <xdr:col>10</xdr:col>
      <xdr:colOff>495300</xdr:colOff>
      <xdr:row>9</xdr:row>
      <xdr:rowOff>90190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7900" y="228600"/>
          <a:ext cx="7772400" cy="169039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10</xdr:row>
      <xdr:rowOff>101600</xdr:rowOff>
    </xdr:from>
    <xdr:to>
      <xdr:col>8</xdr:col>
      <xdr:colOff>355600</xdr:colOff>
      <xdr:row>32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1100" y="2133600"/>
          <a:ext cx="5778500" cy="4381500"/>
        </a:xfrm>
        <a:prstGeom prst="rect">
          <a:avLst/>
        </a:prstGeom>
      </xdr:spPr>
    </xdr:pic>
    <xdr:clientData/>
  </xdr:twoCellAnchor>
  <xdr:twoCellAnchor editAs="oneCell">
    <xdr:from>
      <xdr:col>9</xdr:col>
      <xdr:colOff>50800</xdr:colOff>
      <xdr:row>11</xdr:row>
      <xdr:rowOff>88900</xdr:rowOff>
    </xdr:from>
    <xdr:to>
      <xdr:col>15</xdr:col>
      <xdr:colOff>444500</xdr:colOff>
      <xdr:row>38</xdr:row>
      <xdr:rowOff>76200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80300" y="2324100"/>
          <a:ext cx="5346700" cy="547370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33</xdr:row>
      <xdr:rowOff>101600</xdr:rowOff>
    </xdr:from>
    <xdr:to>
      <xdr:col>9</xdr:col>
      <xdr:colOff>101600</xdr:colOff>
      <xdr:row>54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79600" y="6807200"/>
          <a:ext cx="5651500" cy="42799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0</xdr:row>
      <xdr:rowOff>165100</xdr:rowOff>
    </xdr:from>
    <xdr:to>
      <xdr:col>10</xdr:col>
      <xdr:colOff>368300</xdr:colOff>
      <xdr:row>17</xdr:row>
      <xdr:rowOff>93231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0900" y="165100"/>
          <a:ext cx="7772400" cy="3382531"/>
        </a:xfrm>
        <a:prstGeom prst="rect">
          <a:avLst/>
        </a:prstGeom>
      </xdr:spPr>
    </xdr:pic>
    <xdr:clientData/>
  </xdr:twoCellAnchor>
  <xdr:twoCellAnchor editAs="oneCell">
    <xdr:from>
      <xdr:col>1</xdr:col>
      <xdr:colOff>774700</xdr:colOff>
      <xdr:row>19</xdr:row>
      <xdr:rowOff>127000</xdr:rowOff>
    </xdr:from>
    <xdr:to>
      <xdr:col>11</xdr:col>
      <xdr:colOff>292100</xdr:colOff>
      <xdr:row>34</xdr:row>
      <xdr:rowOff>200701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" y="3987800"/>
          <a:ext cx="7772400" cy="3121701"/>
        </a:xfrm>
        <a:prstGeom prst="rect">
          <a:avLst/>
        </a:prstGeom>
      </xdr:spPr>
    </xdr:pic>
    <xdr:clientData/>
  </xdr:twoCellAnchor>
  <xdr:twoCellAnchor>
    <xdr:from>
      <xdr:col>5</xdr:col>
      <xdr:colOff>736600</xdr:colOff>
      <xdr:row>34</xdr:row>
      <xdr:rowOff>152400</xdr:rowOff>
    </xdr:from>
    <xdr:to>
      <xdr:col>11</xdr:col>
      <xdr:colOff>355600</xdr:colOff>
      <xdr:row>48</xdr:row>
      <xdr:rowOff>50800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0</xdr:colOff>
      <xdr:row>35</xdr:row>
      <xdr:rowOff>0</xdr:rowOff>
    </xdr:from>
    <xdr:to>
      <xdr:col>17</xdr:col>
      <xdr:colOff>444500</xdr:colOff>
      <xdr:row>48</xdr:row>
      <xdr:rowOff>101600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virago.internal.dtlr.gov.uk/data/2005Publications/RoRo%20Q2_2005/Bulletin205draft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earzm/Dropbox/Fellowship%201960-2015%20PFU%20database/Country-level%20exergy%20accounting%20data/GHA/GHA%20FU%20Analysis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earzm/Dropbox/Fellowship%201960-2015%20PFU%20database/Data/Machines%20-%20Data/Charcoal%20stoves/Charcoal%20stoves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virago.internal.dtlr.gov.uk/data/Publications%20&amp;%20DataProvision/SR2/Annual%20Bulletin%20working%20version/work/Sect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virago.internal.dtlr.gov.uk/data/TSGB1998/SECTION1/1-13-98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virago.internal.dtlr.gov.uk/data/IRHS/EXCEL/RORO/bulletins/2003/SA%20Changes/SA%20Changes%20to%20bulletin%20-%20draf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BLE1a"/>
      <sheetName val="TABLE5"/>
      <sheetName val="TABLE4AL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U Allocations"/>
      <sheetName val="FU etas"/>
      <sheetName val="FU Allocations (2017)"/>
      <sheetName val="Allocations+"/>
      <sheetName val="etas+"/>
      <sheetName val="EL - Light"/>
      <sheetName val="ISDE - MD"/>
      <sheetName val="ESP - 2.a-LTH-MTH1"/>
      <sheetName val="ESP - 2.b-MTH2-HTH"/>
      <sheetName val="ESP - 3. Mecanical drive"/>
      <sheetName val="GHUsefulWorkEfficienciesMatrix"/>
      <sheetName val="PB Efficiencies"/>
      <sheetName val="phi_heat"/>
      <sheetName val="Stove efficiencies"/>
      <sheetName val="Fan efficiencies"/>
      <sheetName val="Electric lighting efficiencies"/>
      <sheetName val="TV lighting efficiencies"/>
      <sheetName val="Domestic refrigeration"/>
      <sheetName val="Domestic electricity allocation"/>
      <sheetName val="Non-spec. ind. elec. alloc."/>
      <sheetName val="FixedGHIndustryElectricity"/>
      <sheetName val="GHPrimary"/>
      <sheetName val="Summary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23">
          <cell r="B23">
            <v>0.70333299999999999</v>
          </cell>
        </row>
      </sheetData>
      <sheetData sheetId="12">
        <row r="6">
          <cell r="C6">
            <v>0.13300399011970354</v>
          </cell>
        </row>
        <row r="8">
          <cell r="C8">
            <v>0.20099155835454907</v>
          </cell>
        </row>
        <row r="9">
          <cell r="C9">
            <v>0.36986156609954557</v>
          </cell>
        </row>
        <row r="10">
          <cell r="C10">
            <v>0.65853518868464755</v>
          </cell>
        </row>
        <row r="15">
          <cell r="C15">
            <v>1.04</v>
          </cell>
        </row>
        <row r="16">
          <cell r="C16">
            <v>1.07</v>
          </cell>
        </row>
        <row r="17">
          <cell r="C17">
            <v>1.1499999999999999</v>
          </cell>
        </row>
        <row r="19">
          <cell r="C19">
            <v>1</v>
          </cell>
        </row>
        <row r="26">
          <cell r="C26">
            <v>1</v>
          </cell>
        </row>
        <row r="27">
          <cell r="C27">
            <v>1</v>
          </cell>
        </row>
        <row r="28">
          <cell r="C28">
            <v>1</v>
          </cell>
        </row>
        <row r="29">
          <cell r="C29">
            <v>1</v>
          </cell>
        </row>
      </sheetData>
      <sheetData sheetId="13">
        <row r="5">
          <cell r="B5">
            <v>0.14000000000000001</v>
          </cell>
        </row>
      </sheetData>
      <sheetData sheetId="14"/>
      <sheetData sheetId="15"/>
      <sheetData sheetId="16"/>
      <sheetData sheetId="17">
        <row r="10">
          <cell r="B10">
            <v>25</v>
          </cell>
        </row>
        <row r="11">
          <cell r="B11">
            <v>-10</v>
          </cell>
        </row>
        <row r="12">
          <cell r="B12">
            <v>7.5185714285714278</v>
          </cell>
        </row>
      </sheetData>
      <sheetData sheetId="18"/>
      <sheetData sheetId="19"/>
      <sheetData sheetId="20"/>
      <sheetData sheetId="21"/>
      <sheetData sheetId="22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ME"/>
      <sheetName val="FIN_ETA"/>
      <sheetName val="Calcs"/>
      <sheetName val="Boafo-Mensah_2013"/>
      <sheetName val="Hyman_1986"/>
      <sheetName val="Zhang_2013"/>
      <sheetName val="Coffey_2017"/>
      <sheetName val="Adeyemi_2017"/>
      <sheetName val="Afrane_2012"/>
      <sheetName val="CleanCookingCatalog_2021"/>
      <sheetName val="Edwards_2004"/>
      <sheetName val="FAO_2017"/>
      <sheetName val="Barnes_1996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6">
          <cell r="B6">
            <v>0.18</v>
          </cell>
        </row>
      </sheetData>
      <sheetData sheetId="9"/>
      <sheetData sheetId="10" refreshError="1"/>
      <sheetData sheetId="11"/>
      <sheetData sheetId="12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Year"/>
      <sheetName val="c11"/>
    </sheetNames>
    <sheetDataSet>
      <sheetData sheetId="0" refreshError="1"/>
      <sheetData sheetId="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IS-INDEX"/>
    </sheetNames>
    <sheetDataSet>
      <sheetData sheetId="0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BLE1a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4.xml"/><Relationship Id="rId3" Type="http://schemas.openxmlformats.org/officeDocument/2006/relationships/hyperlink" Target="http://www.gov.uk/government/organisations/department-for-transport/series/road-traffic-statistics" TargetMode="External"/><Relationship Id="rId7" Type="http://schemas.openxmlformats.org/officeDocument/2006/relationships/printerSettings" Target="../printerSettings/printerSettings5.bin"/><Relationship Id="rId2" Type="http://schemas.openxmlformats.org/officeDocument/2006/relationships/hyperlink" Target="http://tna.europarchive.org/20110503185748/http:/www.dft.gov.uk/excel/173025/221412/221522/222944/rfs2009section1.xls" TargetMode="External"/><Relationship Id="rId1" Type="http://schemas.openxmlformats.org/officeDocument/2006/relationships/hyperlink" Target="https://www.gov.uk/government/publications/energy-consumption-in-the-uk" TargetMode="External"/><Relationship Id="rId6" Type="http://schemas.openxmlformats.org/officeDocument/2006/relationships/hyperlink" Target="https://www.gov.uk/government/statistics/energy-consumption-in-the-uk" TargetMode="External"/><Relationship Id="rId5" Type="http://schemas.openxmlformats.org/officeDocument/2006/relationships/hyperlink" Target="https://www.gov.uk/government/publications/road-traffic-statistics-guidance" TargetMode="External"/><Relationship Id="rId10" Type="http://schemas.openxmlformats.org/officeDocument/2006/relationships/comments" Target="../comments1.xml"/><Relationship Id="rId4" Type="http://schemas.openxmlformats.org/officeDocument/2006/relationships/hyperlink" Target="https://www.gov.uk/government/publications/road-traffic-statistics-minor-road-benchmarking" TargetMode="External"/><Relationship Id="rId9" Type="http://schemas.openxmlformats.org/officeDocument/2006/relationships/vmlDrawing" Target="../drawings/vmlDrawing1.v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http://www.eia.gov/totalenergy/data/monthly/dataunits.cfm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150"/>
  <sheetViews>
    <sheetView tabSelected="1" zoomScale="80" zoomScaleNormal="80" workbookViewId="0">
      <selection activeCell="A150" sqref="A1:A150"/>
    </sheetView>
  </sheetViews>
  <sheetFormatPr defaultColWidth="10.5" defaultRowHeight="15" x14ac:dyDescent="0.25"/>
  <cols>
    <col min="1" max="16384" width="10.5" style="249"/>
  </cols>
  <sheetData>
    <row r="1" spans="1:1" x14ac:dyDescent="0.25">
      <c r="A1" s="250" t="s">
        <v>465</v>
      </c>
    </row>
    <row r="2" spans="1:1" x14ac:dyDescent="0.25">
      <c r="A2" s="250" t="s">
        <v>466</v>
      </c>
    </row>
    <row r="3" spans="1:1" x14ac:dyDescent="0.25">
      <c r="A3" s="250" t="s">
        <v>467</v>
      </c>
    </row>
    <row r="4" spans="1:1" x14ac:dyDescent="0.25">
      <c r="A4" s="250" t="s">
        <v>468</v>
      </c>
    </row>
    <row r="5" spans="1:1" x14ac:dyDescent="0.25">
      <c r="A5" s="250" t="s">
        <v>469</v>
      </c>
    </row>
    <row r="6" spans="1:1" x14ac:dyDescent="0.25">
      <c r="A6" s="250" t="s">
        <v>470</v>
      </c>
    </row>
    <row r="7" spans="1:1" x14ac:dyDescent="0.25">
      <c r="A7" s="250" t="s">
        <v>83</v>
      </c>
    </row>
    <row r="8" spans="1:1" x14ac:dyDescent="0.25">
      <c r="A8" s="250"/>
    </row>
    <row r="9" spans="1:1" x14ac:dyDescent="0.25">
      <c r="A9" s="250" t="s">
        <v>483</v>
      </c>
    </row>
    <row r="10" spans="1:1" x14ac:dyDescent="0.25">
      <c r="A10" s="250" t="s">
        <v>488</v>
      </c>
    </row>
    <row r="11" spans="1:1" x14ac:dyDescent="0.25">
      <c r="A11" s="250" t="s">
        <v>487</v>
      </c>
    </row>
    <row r="12" spans="1:1" x14ac:dyDescent="0.25">
      <c r="A12" s="250" t="s">
        <v>486</v>
      </c>
    </row>
    <row r="13" spans="1:1" x14ac:dyDescent="0.25">
      <c r="A13" s="250" t="s">
        <v>484</v>
      </c>
    </row>
    <row r="14" spans="1:1" x14ac:dyDescent="0.25">
      <c r="A14" s="250" t="s">
        <v>485</v>
      </c>
    </row>
    <row r="15" spans="1:1" x14ac:dyDescent="0.25">
      <c r="A15" s="250" t="s">
        <v>83</v>
      </c>
    </row>
    <row r="16" spans="1:1" x14ac:dyDescent="0.25">
      <c r="A16" s="250"/>
    </row>
    <row r="17" spans="1:1" x14ac:dyDescent="0.25">
      <c r="A17" s="250" t="s">
        <v>471</v>
      </c>
    </row>
    <row r="18" spans="1:1" x14ac:dyDescent="0.25">
      <c r="A18" s="250" t="s">
        <v>472</v>
      </c>
    </row>
    <row r="19" spans="1:1" x14ac:dyDescent="0.25">
      <c r="A19" s="250" t="s">
        <v>473</v>
      </c>
    </row>
    <row r="20" spans="1:1" x14ac:dyDescent="0.25">
      <c r="A20" s="250" t="s">
        <v>474</v>
      </c>
    </row>
    <row r="21" spans="1:1" x14ac:dyDescent="0.25">
      <c r="A21" s="250" t="s">
        <v>475</v>
      </c>
    </row>
    <row r="22" spans="1:1" x14ac:dyDescent="0.25">
      <c r="A22" s="250" t="s">
        <v>470</v>
      </c>
    </row>
    <row r="23" spans="1:1" x14ac:dyDescent="0.25">
      <c r="A23" s="250" t="s">
        <v>83</v>
      </c>
    </row>
    <row r="24" spans="1:1" x14ac:dyDescent="0.25">
      <c r="A24" s="250"/>
    </row>
    <row r="25" spans="1:1" x14ac:dyDescent="0.25">
      <c r="A25" s="250" t="s">
        <v>476</v>
      </c>
    </row>
    <row r="26" spans="1:1" x14ac:dyDescent="0.25">
      <c r="A26" s="250" t="s">
        <v>477</v>
      </c>
    </row>
    <row r="27" spans="1:1" x14ac:dyDescent="0.25">
      <c r="A27" s="250" t="s">
        <v>478</v>
      </c>
    </row>
    <row r="28" spans="1:1" x14ac:dyDescent="0.25">
      <c r="A28" s="250" t="s">
        <v>479</v>
      </c>
    </row>
    <row r="29" spans="1:1" x14ac:dyDescent="0.25">
      <c r="A29" s="250" t="s">
        <v>480</v>
      </c>
    </row>
    <row r="30" spans="1:1" x14ac:dyDescent="0.25">
      <c r="A30" s="250" t="s">
        <v>481</v>
      </c>
    </row>
    <row r="31" spans="1:1" x14ac:dyDescent="0.25">
      <c r="A31" s="250" t="s">
        <v>482</v>
      </c>
    </row>
    <row r="32" spans="1:1" x14ac:dyDescent="0.25">
      <c r="A32" s="250" t="s">
        <v>83</v>
      </c>
    </row>
    <row r="33" spans="1:1" x14ac:dyDescent="0.25">
      <c r="A33" s="250"/>
    </row>
    <row r="34" spans="1:1" x14ac:dyDescent="0.25">
      <c r="A34" s="250" t="s">
        <v>74</v>
      </c>
    </row>
    <row r="35" spans="1:1" x14ac:dyDescent="0.25">
      <c r="A35" s="250" t="s">
        <v>75</v>
      </c>
    </row>
    <row r="36" spans="1:1" x14ac:dyDescent="0.25">
      <c r="A36" s="250" t="s">
        <v>76</v>
      </c>
    </row>
    <row r="37" spans="1:1" x14ac:dyDescent="0.25">
      <c r="A37" s="250" t="s">
        <v>77</v>
      </c>
    </row>
    <row r="38" spans="1:1" x14ac:dyDescent="0.25">
      <c r="A38" s="250" t="s">
        <v>78</v>
      </c>
    </row>
    <row r="39" spans="1:1" x14ac:dyDescent="0.25">
      <c r="A39" s="250" t="s">
        <v>79</v>
      </c>
    </row>
    <row r="40" spans="1:1" x14ac:dyDescent="0.25">
      <c r="A40" s="250" t="s">
        <v>84</v>
      </c>
    </row>
    <row r="41" spans="1:1" x14ac:dyDescent="0.25">
      <c r="A41" s="250" t="s">
        <v>80</v>
      </c>
    </row>
    <row r="42" spans="1:1" x14ac:dyDescent="0.25">
      <c r="A42" s="250" t="s">
        <v>81</v>
      </c>
    </row>
    <row r="43" spans="1:1" x14ac:dyDescent="0.25">
      <c r="A43" s="250" t="s">
        <v>82</v>
      </c>
    </row>
    <row r="44" spans="1:1" x14ac:dyDescent="0.25">
      <c r="A44" s="250" t="s">
        <v>83</v>
      </c>
    </row>
    <row r="45" spans="1:1" x14ac:dyDescent="0.25">
      <c r="A45" s="250"/>
    </row>
    <row r="46" spans="1:1" x14ac:dyDescent="0.25">
      <c r="A46" s="250" t="s">
        <v>85</v>
      </c>
    </row>
    <row r="47" spans="1:1" x14ac:dyDescent="0.25">
      <c r="A47" s="250" t="s">
        <v>86</v>
      </c>
    </row>
    <row r="48" spans="1:1" x14ac:dyDescent="0.25">
      <c r="A48" s="250" t="s">
        <v>87</v>
      </c>
    </row>
    <row r="49" spans="1:1" x14ac:dyDescent="0.25">
      <c r="A49" s="250" t="s">
        <v>88</v>
      </c>
    </row>
    <row r="50" spans="1:1" x14ac:dyDescent="0.25">
      <c r="A50" s="250" t="s">
        <v>89</v>
      </c>
    </row>
    <row r="51" spans="1:1" x14ac:dyDescent="0.25">
      <c r="A51" s="250" t="s">
        <v>90</v>
      </c>
    </row>
    <row r="52" spans="1:1" x14ac:dyDescent="0.25">
      <c r="A52" s="250" t="s">
        <v>93</v>
      </c>
    </row>
    <row r="53" spans="1:1" x14ac:dyDescent="0.25">
      <c r="A53" s="250" t="s">
        <v>91</v>
      </c>
    </row>
    <row r="54" spans="1:1" x14ac:dyDescent="0.25">
      <c r="A54" s="250" t="s">
        <v>92</v>
      </c>
    </row>
    <row r="55" spans="1:1" x14ac:dyDescent="0.25">
      <c r="A55" s="250" t="s">
        <v>83</v>
      </c>
    </row>
    <row r="56" spans="1:1" x14ac:dyDescent="0.25">
      <c r="A56" s="250"/>
    </row>
    <row r="57" spans="1:1" x14ac:dyDescent="0.25">
      <c r="A57" s="250" t="s">
        <v>94</v>
      </c>
    </row>
    <row r="58" spans="1:1" x14ac:dyDescent="0.25">
      <c r="A58" s="250" t="s">
        <v>95</v>
      </c>
    </row>
    <row r="59" spans="1:1" x14ac:dyDescent="0.25">
      <c r="A59" s="250" t="s">
        <v>96</v>
      </c>
    </row>
    <row r="60" spans="1:1" x14ac:dyDescent="0.25">
      <c r="A60" s="250" t="s">
        <v>97</v>
      </c>
    </row>
    <row r="61" spans="1:1" x14ac:dyDescent="0.25">
      <c r="A61" s="250" t="s">
        <v>98</v>
      </c>
    </row>
    <row r="62" spans="1:1" x14ac:dyDescent="0.25">
      <c r="A62" s="250" t="s">
        <v>102</v>
      </c>
    </row>
    <row r="63" spans="1:1" x14ac:dyDescent="0.25">
      <c r="A63" s="250" t="s">
        <v>99</v>
      </c>
    </row>
    <row r="64" spans="1:1" x14ac:dyDescent="0.25">
      <c r="A64" s="250" t="s">
        <v>100</v>
      </c>
    </row>
    <row r="65" spans="1:1" x14ac:dyDescent="0.25">
      <c r="A65" s="250" t="s">
        <v>101</v>
      </c>
    </row>
    <row r="66" spans="1:1" x14ac:dyDescent="0.25">
      <c r="A66" s="250" t="s">
        <v>83</v>
      </c>
    </row>
    <row r="67" spans="1:1" x14ac:dyDescent="0.25">
      <c r="A67" s="250"/>
    </row>
    <row r="68" spans="1:1" x14ac:dyDescent="0.25">
      <c r="A68" s="250" t="s">
        <v>103</v>
      </c>
    </row>
    <row r="69" spans="1:1" x14ac:dyDescent="0.25">
      <c r="A69" s="250" t="s">
        <v>104</v>
      </c>
    </row>
    <row r="70" spans="1:1" x14ac:dyDescent="0.25">
      <c r="A70" s="250" t="s">
        <v>105</v>
      </c>
    </row>
    <row r="71" spans="1:1" x14ac:dyDescent="0.25">
      <c r="A71" s="250" t="s">
        <v>106</v>
      </c>
    </row>
    <row r="72" spans="1:1" x14ac:dyDescent="0.25">
      <c r="A72" s="250" t="s">
        <v>107</v>
      </c>
    </row>
    <row r="73" spans="1:1" x14ac:dyDescent="0.25">
      <c r="A73" s="250" t="s">
        <v>111</v>
      </c>
    </row>
    <row r="74" spans="1:1" x14ac:dyDescent="0.25">
      <c r="A74" s="250" t="s">
        <v>108</v>
      </c>
    </row>
    <row r="75" spans="1:1" x14ac:dyDescent="0.25">
      <c r="A75" s="250" t="s">
        <v>109</v>
      </c>
    </row>
    <row r="76" spans="1:1" x14ac:dyDescent="0.25">
      <c r="A76" s="250" t="s">
        <v>110</v>
      </c>
    </row>
    <row r="77" spans="1:1" x14ac:dyDescent="0.25">
      <c r="A77" s="250" t="s">
        <v>83</v>
      </c>
    </row>
    <row r="78" spans="1:1" x14ac:dyDescent="0.25">
      <c r="A78" s="250"/>
    </row>
    <row r="79" spans="1:1" x14ac:dyDescent="0.25">
      <c r="A79" s="250" t="s">
        <v>113</v>
      </c>
    </row>
    <row r="80" spans="1:1" x14ac:dyDescent="0.25">
      <c r="A80" s="250" t="s">
        <v>114</v>
      </c>
    </row>
    <row r="81" spans="1:1" x14ac:dyDescent="0.25">
      <c r="A81" s="250" t="s">
        <v>115</v>
      </c>
    </row>
    <row r="82" spans="1:1" x14ac:dyDescent="0.25">
      <c r="A82" s="250" t="s">
        <v>116</v>
      </c>
    </row>
    <row r="83" spans="1:1" x14ac:dyDescent="0.25">
      <c r="A83" s="250" t="s">
        <v>119</v>
      </c>
    </row>
    <row r="84" spans="1:1" x14ac:dyDescent="0.25">
      <c r="A84" s="250" t="s">
        <v>117</v>
      </c>
    </row>
    <row r="85" spans="1:1" x14ac:dyDescent="0.25">
      <c r="A85" s="250" t="s">
        <v>118</v>
      </c>
    </row>
    <row r="86" spans="1:1" x14ac:dyDescent="0.25">
      <c r="A86" s="250" t="s">
        <v>83</v>
      </c>
    </row>
    <row r="87" spans="1:1" x14ac:dyDescent="0.25">
      <c r="A87" s="250"/>
    </row>
    <row r="88" spans="1:1" x14ac:dyDescent="0.25">
      <c r="A88" s="250" t="s">
        <v>121</v>
      </c>
    </row>
    <row r="89" spans="1:1" x14ac:dyDescent="0.25">
      <c r="A89" s="250" t="s">
        <v>122</v>
      </c>
    </row>
    <row r="90" spans="1:1" x14ac:dyDescent="0.25">
      <c r="A90" s="250" t="s">
        <v>123</v>
      </c>
    </row>
    <row r="91" spans="1:1" x14ac:dyDescent="0.25">
      <c r="A91" s="250" t="s">
        <v>124</v>
      </c>
    </row>
    <row r="92" spans="1:1" x14ac:dyDescent="0.25">
      <c r="A92" s="250" t="s">
        <v>125</v>
      </c>
    </row>
    <row r="93" spans="1:1" x14ac:dyDescent="0.25">
      <c r="A93" s="250" t="s">
        <v>92</v>
      </c>
    </row>
    <row r="94" spans="1:1" x14ac:dyDescent="0.25">
      <c r="A94" s="250" t="s">
        <v>83</v>
      </c>
    </row>
    <row r="95" spans="1:1" x14ac:dyDescent="0.25">
      <c r="A95" s="250"/>
    </row>
    <row r="96" spans="1:1" x14ac:dyDescent="0.25">
      <c r="A96" s="250" t="s">
        <v>126</v>
      </c>
    </row>
    <row r="97" spans="1:1" x14ac:dyDescent="0.25">
      <c r="A97" s="250" t="s">
        <v>127</v>
      </c>
    </row>
    <row r="98" spans="1:1" x14ac:dyDescent="0.25">
      <c r="A98" s="250" t="s">
        <v>128</v>
      </c>
    </row>
    <row r="99" spans="1:1" x14ac:dyDescent="0.25">
      <c r="A99" s="250" t="s">
        <v>129</v>
      </c>
    </row>
    <row r="100" spans="1:1" x14ac:dyDescent="0.25">
      <c r="A100" s="250" t="s">
        <v>130</v>
      </c>
    </row>
    <row r="101" spans="1:1" x14ac:dyDescent="0.25">
      <c r="A101" s="250" t="s">
        <v>118</v>
      </c>
    </row>
    <row r="102" spans="1:1" x14ac:dyDescent="0.25">
      <c r="A102" s="250" t="s">
        <v>83</v>
      </c>
    </row>
    <row r="103" spans="1:1" x14ac:dyDescent="0.25">
      <c r="A103" s="250"/>
    </row>
    <row r="104" spans="1:1" x14ac:dyDescent="0.25">
      <c r="A104" s="250" t="s">
        <v>132</v>
      </c>
    </row>
    <row r="105" spans="1:1" x14ac:dyDescent="0.25">
      <c r="A105" s="250" t="s">
        <v>133</v>
      </c>
    </row>
    <row r="106" spans="1:1" x14ac:dyDescent="0.25">
      <c r="A106" s="250" t="s">
        <v>134</v>
      </c>
    </row>
    <row r="107" spans="1:1" x14ac:dyDescent="0.25">
      <c r="A107" s="250" t="s">
        <v>135</v>
      </c>
    </row>
    <row r="108" spans="1:1" x14ac:dyDescent="0.25">
      <c r="A108" s="250" t="s">
        <v>98</v>
      </c>
    </row>
    <row r="109" spans="1:1" x14ac:dyDescent="0.25">
      <c r="A109" s="250" t="s">
        <v>138</v>
      </c>
    </row>
    <row r="110" spans="1:1" x14ac:dyDescent="0.25">
      <c r="A110" s="250" t="s">
        <v>136</v>
      </c>
    </row>
    <row r="111" spans="1:1" x14ac:dyDescent="0.25">
      <c r="A111" s="250" t="s">
        <v>120</v>
      </c>
    </row>
    <row r="112" spans="1:1" x14ac:dyDescent="0.25">
      <c r="A112" s="250" t="s">
        <v>137</v>
      </c>
    </row>
    <row r="113" spans="1:1" x14ac:dyDescent="0.25">
      <c r="A113" s="250" t="s">
        <v>83</v>
      </c>
    </row>
    <row r="114" spans="1:1" x14ac:dyDescent="0.25">
      <c r="A114" s="250"/>
    </row>
    <row r="115" spans="1:1" x14ac:dyDescent="0.25">
      <c r="A115" s="251" t="s">
        <v>490</v>
      </c>
    </row>
    <row r="116" spans="1:1" x14ac:dyDescent="0.25">
      <c r="A116" s="251" t="s">
        <v>491</v>
      </c>
    </row>
    <row r="117" spans="1:1" x14ac:dyDescent="0.25">
      <c r="A117" s="251" t="s">
        <v>492</v>
      </c>
    </row>
    <row r="118" spans="1:1" x14ac:dyDescent="0.25">
      <c r="A118" s="251" t="s">
        <v>493</v>
      </c>
    </row>
    <row r="119" spans="1:1" x14ac:dyDescent="0.25">
      <c r="A119" s="251" t="s">
        <v>495</v>
      </c>
    </row>
    <row r="120" spans="1:1" x14ac:dyDescent="0.25">
      <c r="A120" s="251" t="s">
        <v>494</v>
      </c>
    </row>
    <row r="121" spans="1:1" x14ac:dyDescent="0.25">
      <c r="A121" s="251" t="s">
        <v>83</v>
      </c>
    </row>
    <row r="122" spans="1:1" x14ac:dyDescent="0.25">
      <c r="A122" s="250"/>
    </row>
    <row r="123" spans="1:1" x14ac:dyDescent="0.25">
      <c r="A123" s="250" t="s">
        <v>507</v>
      </c>
    </row>
    <row r="124" spans="1:1" x14ac:dyDescent="0.25">
      <c r="A124" s="250" t="s">
        <v>508</v>
      </c>
    </row>
    <row r="125" spans="1:1" x14ac:dyDescent="0.25">
      <c r="A125" s="250" t="s">
        <v>509</v>
      </c>
    </row>
    <row r="126" spans="1:1" x14ac:dyDescent="0.25">
      <c r="A126" s="250" t="s">
        <v>510</v>
      </c>
    </row>
    <row r="127" spans="1:1" x14ac:dyDescent="0.25">
      <c r="A127" s="250" t="s">
        <v>511</v>
      </c>
    </row>
    <row r="128" spans="1:1" x14ac:dyDescent="0.25">
      <c r="A128" s="250" t="s">
        <v>512</v>
      </c>
    </row>
    <row r="129" spans="1:1" x14ac:dyDescent="0.25">
      <c r="A129" s="250" t="s">
        <v>112</v>
      </c>
    </row>
    <row r="130" spans="1:1" x14ac:dyDescent="0.25">
      <c r="A130" s="250" t="s">
        <v>513</v>
      </c>
    </row>
    <row r="131" spans="1:1" x14ac:dyDescent="0.25">
      <c r="A131" s="250" t="s">
        <v>131</v>
      </c>
    </row>
    <row r="132" spans="1:1" x14ac:dyDescent="0.25">
      <c r="A132" s="250" t="s">
        <v>83</v>
      </c>
    </row>
    <row r="133" spans="1:1" x14ac:dyDescent="0.25">
      <c r="A133" s="250"/>
    </row>
    <row r="134" spans="1:1" x14ac:dyDescent="0.25">
      <c r="A134" s="251" t="s">
        <v>514</v>
      </c>
    </row>
    <row r="135" spans="1:1" x14ac:dyDescent="0.25">
      <c r="A135" s="251" t="s">
        <v>515</v>
      </c>
    </row>
    <row r="136" spans="1:1" x14ac:dyDescent="0.25">
      <c r="A136" s="251" t="s">
        <v>516</v>
      </c>
    </row>
    <row r="137" spans="1:1" x14ac:dyDescent="0.25">
      <c r="A137" s="251" t="s">
        <v>517</v>
      </c>
    </row>
    <row r="138" spans="1:1" x14ac:dyDescent="0.25">
      <c r="A138" s="251" t="s">
        <v>89</v>
      </c>
    </row>
    <row r="139" spans="1:1" x14ac:dyDescent="0.25">
      <c r="A139" s="251" t="s">
        <v>518</v>
      </c>
    </row>
    <row r="140" spans="1:1" x14ac:dyDescent="0.25">
      <c r="A140" s="251" t="s">
        <v>519</v>
      </c>
    </row>
    <row r="141" spans="1:1" x14ac:dyDescent="0.25">
      <c r="A141" s="251" t="s">
        <v>520</v>
      </c>
    </row>
    <row r="142" spans="1:1" x14ac:dyDescent="0.25">
      <c r="A142" s="251" t="s">
        <v>131</v>
      </c>
    </row>
    <row r="143" spans="1:1" x14ac:dyDescent="0.25">
      <c r="A143" s="251" t="s">
        <v>83</v>
      </c>
    </row>
    <row r="144" spans="1:1" x14ac:dyDescent="0.25">
      <c r="A144" s="250"/>
    </row>
    <row r="145" spans="1:1" x14ac:dyDescent="0.25">
      <c r="A145" s="251" t="s">
        <v>521</v>
      </c>
    </row>
    <row r="146" spans="1:1" x14ac:dyDescent="0.25">
      <c r="A146" s="251" t="s">
        <v>522</v>
      </c>
    </row>
    <row r="147" spans="1:1" x14ac:dyDescent="0.25">
      <c r="A147" s="251" t="s">
        <v>523</v>
      </c>
    </row>
    <row r="148" spans="1:1" x14ac:dyDescent="0.25">
      <c r="A148" s="251" t="s">
        <v>525</v>
      </c>
    </row>
    <row r="149" spans="1:1" x14ac:dyDescent="0.25">
      <c r="A149" s="251" t="s">
        <v>524</v>
      </c>
    </row>
    <row r="150" spans="1:1" x14ac:dyDescent="0.25">
      <c r="A150" s="251" t="s">
        <v>83</v>
      </c>
    </row>
  </sheetData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theme="9" tint="0.39997558519241921"/>
  </sheetPr>
  <dimension ref="C49:R51"/>
  <sheetViews>
    <sheetView topLeftCell="A29" zoomScale="75" workbookViewId="0">
      <selection activeCell="L48" sqref="L48"/>
    </sheetView>
  </sheetViews>
  <sheetFormatPr defaultColWidth="10.5" defaultRowHeight="15.75" x14ac:dyDescent="0.25"/>
  <cols>
    <col min="3" max="3" width="18" bestFit="1" customWidth="1"/>
  </cols>
  <sheetData>
    <row r="49" spans="3:18" x14ac:dyDescent="0.25">
      <c r="C49" s="1"/>
      <c r="D49" s="247" t="s">
        <v>6</v>
      </c>
      <c r="E49" s="247"/>
      <c r="F49" s="247"/>
      <c r="G49" s="247" t="s">
        <v>7</v>
      </c>
      <c r="H49" s="247"/>
      <c r="I49" s="247"/>
      <c r="J49" s="247" t="s">
        <v>8</v>
      </c>
      <c r="K49" s="247"/>
      <c r="L49" s="247"/>
      <c r="M49" s="247" t="s">
        <v>9</v>
      </c>
      <c r="N49" s="247"/>
      <c r="O49" s="247"/>
      <c r="P49" s="247" t="s">
        <v>10</v>
      </c>
      <c r="Q49" s="247"/>
      <c r="R49" s="247"/>
    </row>
    <row r="50" spans="3:18" x14ac:dyDescent="0.25">
      <c r="C50" s="1" t="s">
        <v>5</v>
      </c>
      <c r="D50" s="1">
        <v>16</v>
      </c>
      <c r="E50" s="1">
        <v>25</v>
      </c>
      <c r="F50" s="1">
        <v>35</v>
      </c>
      <c r="G50" s="1">
        <v>16</v>
      </c>
      <c r="H50" s="1">
        <v>25</v>
      </c>
      <c r="I50" s="1">
        <v>35</v>
      </c>
      <c r="J50" s="1">
        <v>16</v>
      </c>
      <c r="K50" s="1">
        <v>25</v>
      </c>
      <c r="L50" s="1">
        <v>35</v>
      </c>
      <c r="M50" s="1">
        <v>16</v>
      </c>
      <c r="N50" s="1">
        <v>25</v>
      </c>
      <c r="O50" s="1">
        <v>35</v>
      </c>
      <c r="P50" s="1">
        <v>16</v>
      </c>
      <c r="Q50" s="1">
        <v>25</v>
      </c>
      <c r="R50" s="1">
        <v>35</v>
      </c>
    </row>
    <row r="51" spans="3:18" x14ac:dyDescent="0.25">
      <c r="C51" s="1" t="s">
        <v>11</v>
      </c>
      <c r="D51" s="1">
        <v>4.9000000000000004</v>
      </c>
      <c r="E51" s="1">
        <v>4</v>
      </c>
      <c r="F51" s="1">
        <v>3.5</v>
      </c>
      <c r="G51" s="1">
        <v>4.5</v>
      </c>
      <c r="H51" s="1">
        <v>3.7</v>
      </c>
      <c r="I51" s="1">
        <v>3</v>
      </c>
      <c r="J51" s="1">
        <v>6.4</v>
      </c>
      <c r="K51" s="1">
        <v>5.7</v>
      </c>
      <c r="L51" s="1">
        <v>4.9000000000000004</v>
      </c>
      <c r="M51" s="1">
        <v>6</v>
      </c>
      <c r="N51" s="1">
        <v>5.2</v>
      </c>
      <c r="O51" s="1">
        <v>4.5</v>
      </c>
      <c r="P51" s="1">
        <v>6.9</v>
      </c>
      <c r="Q51" s="1">
        <v>5.2</v>
      </c>
      <c r="R51" s="1">
        <v>4.5</v>
      </c>
    </row>
  </sheetData>
  <mergeCells count="5">
    <mergeCell ref="D49:F49"/>
    <mergeCell ref="G49:I49"/>
    <mergeCell ref="J49:L49"/>
    <mergeCell ref="M49:O49"/>
    <mergeCell ref="P49:R49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theme="9" tint="0.39997558519241921"/>
  </sheetPr>
  <dimension ref="A1"/>
  <sheetViews>
    <sheetView topLeftCell="A41" workbookViewId="0">
      <selection activeCell="A58" sqref="A58"/>
    </sheetView>
  </sheetViews>
  <sheetFormatPr defaultColWidth="10.5" defaultRowHeight="15.7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9" tint="0.39997558519241921"/>
  </sheetPr>
  <dimension ref="C36:E41"/>
  <sheetViews>
    <sheetView topLeftCell="A15" workbookViewId="0">
      <selection activeCell="A38" sqref="A38"/>
    </sheetView>
  </sheetViews>
  <sheetFormatPr defaultColWidth="10.5" defaultRowHeight="15.75" x14ac:dyDescent="0.25"/>
  <sheetData>
    <row r="36" spans="3:5" x14ac:dyDescent="0.25">
      <c r="C36" s="1"/>
      <c r="D36" s="1" t="s">
        <v>16</v>
      </c>
      <c r="E36" s="1" t="s">
        <v>17</v>
      </c>
    </row>
    <row r="37" spans="3:5" x14ac:dyDescent="0.25">
      <c r="C37" s="1" t="s">
        <v>12</v>
      </c>
      <c r="D37" s="1">
        <v>36.369999999999997</v>
      </c>
      <c r="E37" s="1">
        <v>33.06</v>
      </c>
    </row>
    <row r="38" spans="3:5" x14ac:dyDescent="0.25">
      <c r="C38" s="1">
        <v>2017</v>
      </c>
      <c r="D38" s="1">
        <v>35.17</v>
      </c>
      <c r="E38" s="1">
        <v>31.97</v>
      </c>
    </row>
    <row r="39" spans="3:5" x14ac:dyDescent="0.25">
      <c r="C39" s="1" t="s">
        <v>13</v>
      </c>
      <c r="D39" s="1">
        <v>33.28</v>
      </c>
      <c r="E39" s="1">
        <v>29.91</v>
      </c>
    </row>
    <row r="40" spans="3:5" x14ac:dyDescent="0.25">
      <c r="C40" s="1" t="s">
        <v>14</v>
      </c>
      <c r="D40" s="1">
        <v>32.32</v>
      </c>
      <c r="E40" s="1">
        <v>29.18</v>
      </c>
    </row>
    <row r="41" spans="3:5" x14ac:dyDescent="0.25">
      <c r="C41" s="1" t="s">
        <v>15</v>
      </c>
      <c r="D41" s="1">
        <v>30.64</v>
      </c>
      <c r="E41" s="1">
        <v>27.07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theme="9" tint="0.39997558519241921"/>
  </sheetPr>
  <dimension ref="L40:N55"/>
  <sheetViews>
    <sheetView topLeftCell="A35" zoomScale="84" workbookViewId="0">
      <selection activeCell="L55" sqref="L40:N55"/>
    </sheetView>
  </sheetViews>
  <sheetFormatPr defaultColWidth="10.5" defaultRowHeight="15.75" x14ac:dyDescent="0.25"/>
  <cols>
    <col min="14" max="14" width="24.375" bestFit="1" customWidth="1"/>
  </cols>
  <sheetData>
    <row r="40" spans="12:14" x14ac:dyDescent="0.25">
      <c r="L40" s="1"/>
      <c r="M40" s="1"/>
      <c r="N40" s="1" t="s">
        <v>25</v>
      </c>
    </row>
    <row r="41" spans="12:14" x14ac:dyDescent="0.25">
      <c r="L41" s="1" t="s">
        <v>18</v>
      </c>
      <c r="M41" s="1" t="s">
        <v>19</v>
      </c>
      <c r="N41" s="1">
        <v>28</v>
      </c>
    </row>
    <row r="42" spans="12:14" x14ac:dyDescent="0.25">
      <c r="L42" s="1"/>
      <c r="M42" s="1" t="s">
        <v>69</v>
      </c>
      <c r="N42" s="1">
        <v>34</v>
      </c>
    </row>
    <row r="43" spans="12:14" x14ac:dyDescent="0.25">
      <c r="L43" s="1"/>
      <c r="M43" s="1" t="s">
        <v>20</v>
      </c>
      <c r="N43" s="1">
        <v>39</v>
      </c>
    </row>
    <row r="44" spans="12:14" x14ac:dyDescent="0.25">
      <c r="L44" s="1" t="s">
        <v>21</v>
      </c>
      <c r="M44" s="1" t="s">
        <v>19</v>
      </c>
      <c r="N44" s="1">
        <v>27</v>
      </c>
    </row>
    <row r="45" spans="12:14" x14ac:dyDescent="0.25">
      <c r="L45" s="1"/>
      <c r="M45" s="1" t="s">
        <v>70</v>
      </c>
      <c r="N45" s="1">
        <v>35</v>
      </c>
    </row>
    <row r="46" spans="12:14" x14ac:dyDescent="0.25">
      <c r="L46" s="1"/>
      <c r="M46" s="1" t="s">
        <v>20</v>
      </c>
      <c r="N46" s="1">
        <v>41</v>
      </c>
    </row>
    <row r="47" spans="12:14" x14ac:dyDescent="0.25">
      <c r="L47" s="1" t="s">
        <v>22</v>
      </c>
      <c r="M47" s="1" t="s">
        <v>19</v>
      </c>
      <c r="N47" s="1">
        <v>25</v>
      </c>
    </row>
    <row r="48" spans="12:14" x14ac:dyDescent="0.25">
      <c r="L48" s="1"/>
      <c r="M48" s="1" t="s">
        <v>71</v>
      </c>
      <c r="N48" s="1">
        <v>31</v>
      </c>
    </row>
    <row r="49" spans="12:14" x14ac:dyDescent="0.25">
      <c r="L49" s="1"/>
      <c r="M49" s="1" t="s">
        <v>20</v>
      </c>
      <c r="N49" s="1">
        <v>35</v>
      </c>
    </row>
    <row r="50" spans="12:14" x14ac:dyDescent="0.25">
      <c r="L50" s="1" t="s">
        <v>23</v>
      </c>
      <c r="M50" s="1" t="s">
        <v>19</v>
      </c>
      <c r="N50" s="1">
        <v>26</v>
      </c>
    </row>
    <row r="51" spans="12:14" x14ac:dyDescent="0.25">
      <c r="L51" s="1"/>
      <c r="M51" s="1" t="s">
        <v>72</v>
      </c>
      <c r="N51" s="1">
        <v>41</v>
      </c>
    </row>
    <row r="52" spans="12:14" x14ac:dyDescent="0.25">
      <c r="L52" s="1"/>
      <c r="M52" s="1" t="s">
        <v>20</v>
      </c>
      <c r="N52" s="1">
        <v>54</v>
      </c>
    </row>
    <row r="53" spans="12:14" x14ac:dyDescent="0.25">
      <c r="L53" s="1" t="s">
        <v>24</v>
      </c>
      <c r="M53" s="1" t="s">
        <v>19</v>
      </c>
      <c r="N53" s="1">
        <v>32</v>
      </c>
    </row>
    <row r="54" spans="12:14" x14ac:dyDescent="0.25">
      <c r="L54" s="1"/>
      <c r="M54" s="1" t="s">
        <v>73</v>
      </c>
      <c r="N54" s="1">
        <v>37</v>
      </c>
    </row>
    <row r="55" spans="12:14" x14ac:dyDescent="0.25">
      <c r="L55" s="1"/>
      <c r="M55" s="1" t="s">
        <v>20</v>
      </c>
      <c r="N55" s="1">
        <v>42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theme="9" tint="0.39997558519241921"/>
  </sheetPr>
  <dimension ref="B73:D74"/>
  <sheetViews>
    <sheetView workbookViewId="0">
      <selection activeCell="G72" sqref="G72"/>
    </sheetView>
  </sheetViews>
  <sheetFormatPr defaultColWidth="10.5" defaultRowHeight="15.75" x14ac:dyDescent="0.25"/>
  <sheetData>
    <row r="73" spans="2:4" x14ac:dyDescent="0.25">
      <c r="D73" t="s">
        <v>41</v>
      </c>
    </row>
    <row r="74" spans="2:4" x14ac:dyDescent="0.25">
      <c r="B74" t="s">
        <v>24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theme="9" tint="0.39997558519241921"/>
  </sheetPr>
  <dimension ref="K15:L24"/>
  <sheetViews>
    <sheetView topLeftCell="A16" workbookViewId="0">
      <selection activeCell="P23" sqref="P23"/>
    </sheetView>
  </sheetViews>
  <sheetFormatPr defaultColWidth="10.5" defaultRowHeight="15.75" x14ac:dyDescent="0.25"/>
  <cols>
    <col min="12" max="12" width="24.5" bestFit="1" customWidth="1"/>
  </cols>
  <sheetData>
    <row r="15" spans="11:12" x14ac:dyDescent="0.25">
      <c r="K15" s="1"/>
      <c r="L15" s="1" t="s">
        <v>42</v>
      </c>
    </row>
    <row r="16" spans="11:12" x14ac:dyDescent="0.25">
      <c r="K16" s="1" t="s">
        <v>52</v>
      </c>
      <c r="L16" s="1">
        <v>38</v>
      </c>
    </row>
    <row r="17" spans="11:12" x14ac:dyDescent="0.25">
      <c r="K17" s="1" t="s">
        <v>53</v>
      </c>
      <c r="L17" s="1">
        <v>36.5</v>
      </c>
    </row>
    <row r="18" spans="11:12" x14ac:dyDescent="0.25">
      <c r="K18" s="1" t="s">
        <v>53</v>
      </c>
      <c r="L18" s="1">
        <v>34.700000000000003</v>
      </c>
    </row>
    <row r="19" spans="11:12" x14ac:dyDescent="0.25">
      <c r="K19" s="1" t="s">
        <v>54</v>
      </c>
      <c r="L19" s="1">
        <v>34.6</v>
      </c>
    </row>
    <row r="20" spans="11:12" x14ac:dyDescent="0.25">
      <c r="K20" s="1" t="s">
        <v>55</v>
      </c>
      <c r="L20" s="1">
        <v>34.700000000000003</v>
      </c>
    </row>
    <row r="21" spans="11:12" x14ac:dyDescent="0.25">
      <c r="K21" s="1" t="s">
        <v>56</v>
      </c>
      <c r="L21" s="1">
        <v>34.200000000000003</v>
      </c>
    </row>
    <row r="22" spans="11:12" x14ac:dyDescent="0.25">
      <c r="K22" s="1" t="s">
        <v>57</v>
      </c>
      <c r="L22" s="1">
        <v>33.299999999999997</v>
      </c>
    </row>
    <row r="23" spans="11:12" x14ac:dyDescent="0.25">
      <c r="K23" s="1" t="s">
        <v>58</v>
      </c>
      <c r="L23" s="1">
        <v>32.700000000000003</v>
      </c>
    </row>
    <row r="24" spans="11:12" x14ac:dyDescent="0.25">
      <c r="K24" s="1" t="s">
        <v>59</v>
      </c>
      <c r="L24" s="1">
        <v>32.299999999999997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theme="9" tint="0.39997558519241921"/>
  </sheetPr>
  <dimension ref="A1"/>
  <sheetViews>
    <sheetView topLeftCell="A28" workbookViewId="0">
      <selection activeCell="B47" sqref="B47"/>
    </sheetView>
  </sheetViews>
  <sheetFormatPr defaultColWidth="10.5" defaultRowHeight="15.75" x14ac:dyDescent="0.2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theme="9" tint="0.39997558519241921"/>
  </sheetPr>
  <dimension ref="D66:E71"/>
  <sheetViews>
    <sheetView topLeftCell="A46" workbookViewId="0">
      <selection activeCell="A64" sqref="A64"/>
    </sheetView>
  </sheetViews>
  <sheetFormatPr defaultColWidth="10.5" defaultRowHeight="15.75" x14ac:dyDescent="0.25"/>
  <cols>
    <col min="5" max="5" width="17.5" bestFit="1" customWidth="1"/>
  </cols>
  <sheetData>
    <row r="66" spans="4:5" x14ac:dyDescent="0.25">
      <c r="D66" s="1" t="s">
        <v>46</v>
      </c>
      <c r="E66" s="1" t="s">
        <v>45</v>
      </c>
    </row>
    <row r="67" spans="4:5" x14ac:dyDescent="0.25">
      <c r="D67" s="4" t="s">
        <v>50</v>
      </c>
      <c r="E67" s="1">
        <v>6.2</v>
      </c>
    </row>
    <row r="68" spans="4:5" x14ac:dyDescent="0.25">
      <c r="D68" s="1" t="s">
        <v>47</v>
      </c>
      <c r="E68" s="1">
        <v>6.2</v>
      </c>
    </row>
    <row r="69" spans="4:5" x14ac:dyDescent="0.25">
      <c r="D69" s="1" t="s">
        <v>48</v>
      </c>
      <c r="E69" s="1">
        <v>6.5</v>
      </c>
    </row>
    <row r="70" spans="4:5" x14ac:dyDescent="0.25">
      <c r="D70" s="1" t="s">
        <v>49</v>
      </c>
      <c r="E70" s="1">
        <v>6.7</v>
      </c>
    </row>
    <row r="71" spans="4:5" x14ac:dyDescent="0.25">
      <c r="D71" s="1" t="s">
        <v>51</v>
      </c>
      <c r="E71" s="1">
        <f>AVERAGE(E67:E70)</f>
        <v>6.3999999999999995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theme="9" tint="0.39997558519241921"/>
  </sheetPr>
  <dimension ref="A1"/>
  <sheetViews>
    <sheetView topLeftCell="A4" workbookViewId="0">
      <selection activeCell="O20" sqref="O20"/>
    </sheetView>
  </sheetViews>
  <sheetFormatPr defaultColWidth="8.875" defaultRowHeight="15.75" x14ac:dyDescent="0.2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"/>
  <sheetViews>
    <sheetView topLeftCell="A5" workbookViewId="0">
      <selection activeCell="A58" sqref="A58"/>
    </sheetView>
  </sheetViews>
  <sheetFormatPr defaultColWidth="10.5" defaultRowHeight="15.75" x14ac:dyDescent="0.25"/>
  <sheetData>
    <row r="1" spans="1:1" x14ac:dyDescent="0.25">
      <c r="A1" t="s">
        <v>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P26"/>
  <sheetViews>
    <sheetView zoomScale="80" zoomScaleNormal="80" workbookViewId="0">
      <selection activeCell="D11" sqref="D11"/>
    </sheetView>
  </sheetViews>
  <sheetFormatPr defaultColWidth="8.5" defaultRowHeight="15" x14ac:dyDescent="0.25"/>
  <cols>
    <col min="1" max="1" width="11.375" style="6" bestFit="1" customWidth="1"/>
    <col min="2" max="2" width="15" style="6" bestFit="1" customWidth="1"/>
    <col min="3" max="3" width="9.375" style="6" bestFit="1" customWidth="1"/>
    <col min="4" max="4" width="8.875" style="6" customWidth="1"/>
    <col min="5" max="5" width="24.125" style="6" bestFit="1" customWidth="1"/>
    <col min="6" max="6" width="11.5" style="6" customWidth="1"/>
    <col min="7" max="7" width="10.5" style="6" customWidth="1"/>
    <col min="8" max="16384" width="8.5" style="6"/>
  </cols>
  <sheetData>
    <row r="1" spans="1:68" s="232" customFormat="1" x14ac:dyDescent="0.25">
      <c r="A1" s="232" t="s">
        <v>497</v>
      </c>
      <c r="B1" s="232" t="s">
        <v>498</v>
      </c>
      <c r="C1" s="232" t="s">
        <v>499</v>
      </c>
      <c r="D1" s="232" t="s">
        <v>500</v>
      </c>
      <c r="E1" s="232" t="s">
        <v>501</v>
      </c>
      <c r="F1" s="232" t="s">
        <v>502</v>
      </c>
      <c r="G1" s="232" t="s">
        <v>503</v>
      </c>
      <c r="H1" s="232">
        <v>1960</v>
      </c>
      <c r="I1" s="232">
        <v>1961</v>
      </c>
      <c r="J1" s="232">
        <v>1962</v>
      </c>
      <c r="K1" s="232">
        <v>1963</v>
      </c>
      <c r="L1" s="232">
        <v>1964</v>
      </c>
      <c r="M1" s="232">
        <v>1965</v>
      </c>
      <c r="N1" s="232">
        <v>1966</v>
      </c>
      <c r="O1" s="232">
        <v>1967</v>
      </c>
      <c r="P1" s="232">
        <v>1968</v>
      </c>
      <c r="Q1" s="232">
        <v>1969</v>
      </c>
      <c r="R1" s="232">
        <v>1970</v>
      </c>
      <c r="S1" s="232">
        <v>1971</v>
      </c>
      <c r="T1" s="232">
        <v>1972</v>
      </c>
      <c r="U1" s="232">
        <v>1973</v>
      </c>
      <c r="V1" s="232">
        <v>1974</v>
      </c>
      <c r="W1" s="232">
        <v>1975</v>
      </c>
      <c r="X1" s="232">
        <v>1976</v>
      </c>
      <c r="Y1" s="232">
        <v>1977</v>
      </c>
      <c r="Z1" s="232">
        <v>1978</v>
      </c>
      <c r="AA1" s="232">
        <v>1979</v>
      </c>
      <c r="AB1" s="232">
        <v>1980</v>
      </c>
      <c r="AC1" s="232">
        <v>1981</v>
      </c>
      <c r="AD1" s="232">
        <v>1982</v>
      </c>
      <c r="AE1" s="232">
        <v>1983</v>
      </c>
      <c r="AF1" s="232">
        <v>1984</v>
      </c>
      <c r="AG1" s="232">
        <v>1985</v>
      </c>
      <c r="AH1" s="232">
        <v>1986</v>
      </c>
      <c r="AI1" s="232">
        <v>1987</v>
      </c>
      <c r="AJ1" s="232">
        <v>1988</v>
      </c>
      <c r="AK1" s="232">
        <v>1989</v>
      </c>
      <c r="AL1" s="232">
        <v>1990</v>
      </c>
      <c r="AM1" s="232">
        <v>1991</v>
      </c>
      <c r="AN1" s="232">
        <v>1992</v>
      </c>
      <c r="AO1" s="232">
        <v>1993</v>
      </c>
      <c r="AP1" s="232">
        <v>1994</v>
      </c>
      <c r="AQ1" s="232">
        <v>1995</v>
      </c>
      <c r="AR1" s="232">
        <v>1996</v>
      </c>
      <c r="AS1" s="232">
        <v>1997</v>
      </c>
      <c r="AT1" s="232">
        <v>1998</v>
      </c>
      <c r="AU1" s="232">
        <v>1999</v>
      </c>
      <c r="AV1" s="232">
        <v>2000</v>
      </c>
      <c r="AW1" s="232">
        <v>2001</v>
      </c>
      <c r="AX1" s="232">
        <v>2002</v>
      </c>
      <c r="AY1" s="232">
        <v>2003</v>
      </c>
      <c r="AZ1" s="232">
        <v>2004</v>
      </c>
      <c r="BA1" s="232">
        <v>2005</v>
      </c>
      <c r="BB1" s="232">
        <v>2006</v>
      </c>
      <c r="BC1" s="232">
        <v>2007</v>
      </c>
      <c r="BD1" s="232">
        <v>2008</v>
      </c>
      <c r="BE1" s="232">
        <v>2009</v>
      </c>
      <c r="BF1" s="232">
        <v>2010</v>
      </c>
      <c r="BG1" s="232">
        <v>2011</v>
      </c>
      <c r="BH1" s="232">
        <v>2012</v>
      </c>
      <c r="BI1" s="232">
        <v>2013</v>
      </c>
      <c r="BJ1" s="232">
        <v>2014</v>
      </c>
      <c r="BK1" s="232">
        <v>2015</v>
      </c>
      <c r="BL1" s="232">
        <v>2016</v>
      </c>
      <c r="BM1" s="232">
        <v>2017</v>
      </c>
      <c r="BN1" s="232">
        <v>2018</v>
      </c>
      <c r="BO1" s="232">
        <v>2019</v>
      </c>
      <c r="BP1" s="232">
        <v>2020</v>
      </c>
    </row>
    <row r="2" spans="1:68" s="233" customFormat="1" x14ac:dyDescent="0.25">
      <c r="A2" s="233" t="s">
        <v>536</v>
      </c>
      <c r="B2" s="233" t="s">
        <v>533</v>
      </c>
      <c r="C2" s="233" t="s">
        <v>534</v>
      </c>
      <c r="D2" s="233" t="s">
        <v>535</v>
      </c>
      <c r="E2" s="233" t="s">
        <v>530</v>
      </c>
      <c r="F2" s="233" t="s">
        <v>538</v>
      </c>
      <c r="G2" s="233" t="s">
        <v>531</v>
      </c>
      <c r="H2" s="234">
        <f>'1_HDV calcs'!E43</f>
        <v>0.40847889610190591</v>
      </c>
      <c r="I2" s="234">
        <f>'1_HDV calcs'!F43</f>
        <v>0.40328377269335225</v>
      </c>
      <c r="J2" s="234">
        <f>'1_HDV calcs'!G43</f>
        <v>0.3980164465105962</v>
      </c>
      <c r="K2" s="234">
        <f>'1_HDV calcs'!H43</f>
        <v>0.39262471679183719</v>
      </c>
      <c r="L2" s="234">
        <f>'1_HDV calcs'!I43</f>
        <v>0.38760258068221881</v>
      </c>
      <c r="M2" s="234">
        <f>'1_HDV calcs'!J43</f>
        <v>0.38173554814135985</v>
      </c>
      <c r="N2" s="234">
        <f>'1_HDV calcs'!K43</f>
        <v>0.37548899209667363</v>
      </c>
      <c r="O2" s="234">
        <f>'1_HDV calcs'!L43</f>
        <v>0.36867467349642047</v>
      </c>
      <c r="P2" s="234">
        <f>'1_HDV calcs'!M43</f>
        <v>0.36193549665508357</v>
      </c>
      <c r="Q2" s="234">
        <f>'1_HDV calcs'!N43</f>
        <v>0.35474344509747707</v>
      </c>
      <c r="R2" s="234">
        <f>'1_HDV calcs'!O43</f>
        <v>0.34821292435925805</v>
      </c>
      <c r="S2" s="234">
        <f>'1_HDV calcs'!P43</f>
        <v>0.3474584861085151</v>
      </c>
      <c r="T2" s="234">
        <f>'1_HDV calcs'!Q43</f>
        <v>0.34855863919161711</v>
      </c>
      <c r="U2" s="234">
        <f>'1_HDV calcs'!R43</f>
        <v>0.34431077833841717</v>
      </c>
      <c r="V2" s="234">
        <f>'1_HDV calcs'!S43</f>
        <v>0.34337776633590539</v>
      </c>
      <c r="W2" s="234">
        <f>'1_HDV calcs'!T43</f>
        <v>0.34246965147055791</v>
      </c>
      <c r="X2" s="234">
        <f>'1_HDV calcs'!U43</f>
        <v>0.3437177819105211</v>
      </c>
      <c r="Y2" s="234">
        <f>'1_HDV calcs'!V43</f>
        <v>0.33794011347286768</v>
      </c>
      <c r="Z2" s="234">
        <f>'1_HDV calcs'!W43</f>
        <v>0.33909376668055474</v>
      </c>
      <c r="AA2" s="234">
        <f>'1_HDV calcs'!X43</f>
        <v>0.33509502623138315</v>
      </c>
      <c r="AB2" s="234">
        <f>'1_HDV calcs'!Y43</f>
        <v>0.34193196201132975</v>
      </c>
      <c r="AC2" s="234">
        <f>'1_HDV calcs'!Z43</f>
        <v>0.3456378159568152</v>
      </c>
      <c r="AD2" s="234">
        <f>'1_HDV calcs'!AA43</f>
        <v>0.33764877793738435</v>
      </c>
      <c r="AE2" s="234">
        <f>'1_HDV calcs'!AB43</f>
        <v>0.32943862877797686</v>
      </c>
      <c r="AF2" s="234">
        <f>'1_HDV calcs'!AC43</f>
        <v>0.3217459637926689</v>
      </c>
      <c r="AG2" s="234">
        <f>'1_HDV calcs'!AD43</f>
        <v>0.31272521955649496</v>
      </c>
      <c r="AH2" s="234">
        <f>'1_HDV calcs'!AE43</f>
        <v>0.29933764538802471</v>
      </c>
      <c r="AI2" s="234">
        <f>'1_HDV calcs'!AF43</f>
        <v>0.30587617418968793</v>
      </c>
      <c r="AJ2" s="234">
        <f>'1_HDV calcs'!AG43</f>
        <v>0.30262283165025372</v>
      </c>
      <c r="AK2" s="234">
        <f>'1_HDV calcs'!AH43</f>
        <v>0.30992331558731889</v>
      </c>
      <c r="AL2" s="234">
        <f>'1_HDV calcs'!AI43</f>
        <v>0.30857478815076761</v>
      </c>
      <c r="AM2" s="234">
        <f>'1_HDV calcs'!AJ43</f>
        <v>0.31243728350772565</v>
      </c>
      <c r="AN2" s="234">
        <f>'1_HDV calcs'!AK43</f>
        <v>0.30887757901089768</v>
      </c>
      <c r="AO2" s="234">
        <f>'1_HDV calcs'!AL43</f>
        <v>0.3098511756906307</v>
      </c>
      <c r="AP2" s="234">
        <f>'1_HDV calcs'!AM43</f>
        <v>0.30804929852529261</v>
      </c>
      <c r="AQ2" s="234">
        <f>'1_HDV calcs'!AN43</f>
        <v>0.31394635340968907</v>
      </c>
      <c r="AR2" s="234">
        <f>'1_HDV calcs'!AO43</f>
        <v>0.3149028149854482</v>
      </c>
      <c r="AS2" s="234">
        <f>'1_HDV calcs'!AP43</f>
        <v>0.31864719750020742</v>
      </c>
      <c r="AT2" s="234">
        <f>'1_HDV calcs'!AQ43</f>
        <v>0.32565510549951848</v>
      </c>
      <c r="AU2" s="234">
        <f>'1_HDV calcs'!AR43</f>
        <v>0.33123769052821955</v>
      </c>
      <c r="AV2" s="234">
        <f>'1_HDV calcs'!AS43</f>
        <v>0.33445303251308206</v>
      </c>
      <c r="AW2" s="234">
        <f>'1_HDV calcs'!AT43</f>
        <v>0.33458266422462046</v>
      </c>
      <c r="AX2" s="234">
        <f>'1_HDV calcs'!AU43</f>
        <v>0.3330543485233578</v>
      </c>
      <c r="AY2" s="234">
        <f>'1_HDV calcs'!AV43</f>
        <v>0.33239397727797582</v>
      </c>
      <c r="AZ2" s="234">
        <f>'1_HDV calcs'!AW43</f>
        <v>0.33438792382800453</v>
      </c>
      <c r="BA2" s="234">
        <f>'1_HDV calcs'!AX43</f>
        <v>0.33150413747672114</v>
      </c>
      <c r="BB2" s="234">
        <f>'1_HDV calcs'!AY43</f>
        <v>0.3316496489590835</v>
      </c>
      <c r="BC2" s="234">
        <f>'1_HDV calcs'!AZ43</f>
        <v>0.33220254056592907</v>
      </c>
      <c r="BD2" s="234">
        <f>'1_HDV calcs'!BA43</f>
        <v>0.33980075148255395</v>
      </c>
      <c r="BE2" s="234">
        <f>'1_HDV calcs'!BB43</f>
        <v>0.33892044450566411</v>
      </c>
      <c r="BF2" s="234">
        <f>'1_HDV calcs'!BC43</f>
        <v>0.3362443812563049</v>
      </c>
      <c r="BG2" s="234">
        <f>'1_HDV calcs'!BD43</f>
        <v>0.33710835035903358</v>
      </c>
      <c r="BH2" s="234">
        <f>'1_HDV calcs'!BE43</f>
        <v>0.33310714274844133</v>
      </c>
      <c r="BI2" s="234">
        <f>'1_HDV calcs'!BF43</f>
        <v>0.33481175675792424</v>
      </c>
      <c r="BJ2" s="234">
        <f>'1_HDV calcs'!BG43</f>
        <v>0.3347908863263479</v>
      </c>
      <c r="BK2" s="234">
        <f>'1_HDV calcs'!BH43</f>
        <v>0.33293278873356619</v>
      </c>
      <c r="BL2" s="234">
        <f>'1_HDV calcs'!BI43</f>
        <v>0.3296142687184262</v>
      </c>
      <c r="BM2" s="234">
        <f>'1_HDV calcs'!BJ43</f>
        <v>0.33077807570325118</v>
      </c>
      <c r="BN2" s="234">
        <f>'1_HDV calcs'!BK43</f>
        <v>0.33242816814361281</v>
      </c>
      <c r="BO2" s="234">
        <f>'1_HDV calcs'!BL43</f>
        <v>0.3319542598848727</v>
      </c>
      <c r="BP2" s="234">
        <f>'1_HDV calcs'!BM43</f>
        <v>0.33148129071111027</v>
      </c>
    </row>
    <row r="3" spans="1:68" s="233" customFormat="1" x14ac:dyDescent="0.25">
      <c r="A3" s="233" t="str">
        <f>'1_HDV calcs'!A44</f>
        <v>USA</v>
      </c>
      <c r="B3" s="233" t="s">
        <v>533</v>
      </c>
      <c r="C3" s="233" t="s">
        <v>534</v>
      </c>
      <c r="D3" s="233" t="s">
        <v>535</v>
      </c>
      <c r="E3" s="233" t="s">
        <v>530</v>
      </c>
      <c r="F3" s="233" t="s">
        <v>538</v>
      </c>
      <c r="G3" s="233" t="s">
        <v>531</v>
      </c>
      <c r="H3" s="234">
        <f>'1_HDV calcs'!E44</f>
        <v>0.24923104497901463</v>
      </c>
      <c r="I3" s="234">
        <f>'1_HDV calcs'!F44</f>
        <v>0.24923104497901463</v>
      </c>
      <c r="J3" s="234">
        <f>'1_HDV calcs'!G44</f>
        <v>0.24923104497901463</v>
      </c>
      <c r="K3" s="234">
        <f>'1_HDV calcs'!H44</f>
        <v>0.24923104497901463</v>
      </c>
      <c r="L3" s="234">
        <f>'1_HDV calcs'!I44</f>
        <v>0.24923104497901463</v>
      </c>
      <c r="M3" s="234">
        <f>'1_HDV calcs'!J44</f>
        <v>0.24923104497901463</v>
      </c>
      <c r="N3" s="234">
        <f>'1_HDV calcs'!K44</f>
        <v>0.24923104497901463</v>
      </c>
      <c r="O3" s="234">
        <f>'1_HDV calcs'!L44</f>
        <v>0.24923104497901463</v>
      </c>
      <c r="P3" s="234">
        <f>'1_HDV calcs'!M44</f>
        <v>0.24631653613677873</v>
      </c>
      <c r="Q3" s="234">
        <f>'1_HDV calcs'!N44</f>
        <v>0.24631653613677873</v>
      </c>
      <c r="R3" s="234">
        <f>'1_HDV calcs'!O44</f>
        <v>0.24631653613677873</v>
      </c>
      <c r="S3" s="234">
        <f>'1_HDV calcs'!P44</f>
        <v>0.24923104497901463</v>
      </c>
      <c r="T3" s="234">
        <f>'1_HDV calcs'!Q44</f>
        <v>0.24923104497901463</v>
      </c>
      <c r="U3" s="234">
        <f>'1_HDV calcs'!R44</f>
        <v>0.24631653613677873</v>
      </c>
      <c r="V3" s="234">
        <f>'1_HDV calcs'!S44</f>
        <v>0.24631653613677873</v>
      </c>
      <c r="W3" s="234">
        <f>'1_HDV calcs'!T44</f>
        <v>0.24923104497901463</v>
      </c>
      <c r="X3" s="234">
        <f>'1_HDV calcs'!U44</f>
        <v>0.24923104497901463</v>
      </c>
      <c r="Y3" s="234">
        <f>'1_HDV calcs'!V44</f>
        <v>0.24923104497901463</v>
      </c>
      <c r="Z3" s="234">
        <f>'1_HDV calcs'!W44</f>
        <v>0.24631653613677873</v>
      </c>
      <c r="AA3" s="234">
        <f>'1_HDV calcs'!X44</f>
        <v>0.24631653613677873</v>
      </c>
      <c r="AB3" s="234">
        <f>'1_HDV calcs'!Y44</f>
        <v>0.24335971815471297</v>
      </c>
      <c r="AC3" s="234">
        <f>'1_HDV calcs'!Z44</f>
        <v>0.2403599768424306</v>
      </c>
      <c r="AD3" s="234">
        <f>'1_HDV calcs'!AA44</f>
        <v>0.24631653613677873</v>
      </c>
      <c r="AE3" s="234">
        <f>'1_HDV calcs'!AB44</f>
        <v>0.24923104497901463</v>
      </c>
      <c r="AF3" s="234">
        <f>'1_HDV calcs'!AC44</f>
        <v>0.25210385008335079</v>
      </c>
      <c r="AG3" s="234">
        <f>'1_HDV calcs'!AD44</f>
        <v>0.25493554818901454</v>
      </c>
      <c r="AH3" s="234">
        <f>'1_HDV calcs'!AE44</f>
        <v>0.25493554818901454</v>
      </c>
      <c r="AI3" s="234">
        <f>'1_HDV calcs'!AF44</f>
        <v>0.25772672749648551</v>
      </c>
      <c r="AJ3" s="234">
        <f>'1_HDV calcs'!AG44</f>
        <v>0.26047796778967608</v>
      </c>
      <c r="AK3" s="234">
        <f>'1_HDV calcs'!AH44</f>
        <v>0.26318984055636491</v>
      </c>
      <c r="AL3" s="234">
        <f>'1_HDV calcs'!AI44</f>
        <v>0.26047796778967608</v>
      </c>
      <c r="AM3" s="234">
        <f>'1_HDV calcs'!AJ44</f>
        <v>0.26047796778967608</v>
      </c>
      <c r="AN3" s="234">
        <f>'1_HDV calcs'!AK44</f>
        <v>0.26047796778967608</v>
      </c>
      <c r="AO3" s="234">
        <f>'1_HDV calcs'!AL44</f>
        <v>0.26318984055636491</v>
      </c>
      <c r="AP3" s="234">
        <f>'1_HDV calcs'!AM44</f>
        <v>0.26318984055636491</v>
      </c>
      <c r="AQ3" s="234">
        <f>'1_HDV calcs'!AN44</f>
        <v>0.26318984055636491</v>
      </c>
      <c r="AR3" s="234">
        <f>'1_HDV calcs'!AO44</f>
        <v>0.26586290910690563</v>
      </c>
      <c r="AS3" s="234">
        <f>'1_HDV calcs'!AP44</f>
        <v>0.2710948466142255</v>
      </c>
      <c r="AT3" s="234">
        <f>'1_HDV calcs'!AQ44</f>
        <v>0.26318984055636491</v>
      </c>
      <c r="AU3" s="234">
        <f>'1_HDV calcs'!AR44</f>
        <v>0.26047796778967608</v>
      </c>
      <c r="AV3" s="234">
        <f>'1_HDV calcs'!AS44</f>
        <v>0.25493554818901454</v>
      </c>
      <c r="AW3" s="234">
        <f>'1_HDV calcs'!AT44</f>
        <v>0.25772672749648551</v>
      </c>
      <c r="AX3" s="234">
        <f>'1_HDV calcs'!AU44</f>
        <v>0.25493554818901454</v>
      </c>
      <c r="AY3" s="234">
        <f>'1_HDV calcs'!AV44</f>
        <v>0.27866534666362858</v>
      </c>
      <c r="AZ3" s="234">
        <f>'1_HDV calcs'!AW44</f>
        <v>0.27866534666362858</v>
      </c>
      <c r="BA3" s="234">
        <f>'1_HDV calcs'!AX44</f>
        <v>0.26047796778967608</v>
      </c>
      <c r="BB3" s="234">
        <f>'1_HDV calcs'!AY44</f>
        <v>0.25772672749648551</v>
      </c>
      <c r="BC3" s="234">
        <f>'1_HDV calcs'!AZ44</f>
        <v>0.2710948466142255</v>
      </c>
      <c r="BD3" s="234">
        <f>'1_HDV calcs'!BA44</f>
        <v>0.27365480234933887</v>
      </c>
      <c r="BE3" s="234">
        <f>'1_HDV calcs'!BB44</f>
        <v>0.27365480234933887</v>
      </c>
      <c r="BF3" s="234">
        <f>'1_HDV calcs'!BC44</f>
        <v>0.2710948466142255</v>
      </c>
      <c r="BG3" s="234">
        <f>'1_HDV calcs'!BD44</f>
        <v>0.26849772869123822</v>
      </c>
      <c r="BH3" s="234">
        <f>'1_HDV calcs'!BE44</f>
        <v>0.2710948466142255</v>
      </c>
      <c r="BI3" s="234">
        <f>'1_HDV calcs'!BF44</f>
        <v>0.2710948466142255</v>
      </c>
      <c r="BJ3" s="234">
        <f>'1_HDV calcs'!BG44</f>
        <v>0.26849772869123822</v>
      </c>
      <c r="BK3" s="234">
        <f>'1_HDV calcs'!BH44</f>
        <v>0.2710948466142255</v>
      </c>
      <c r="BL3" s="234">
        <f>'1_HDV calcs'!BI44</f>
        <v>0.2710948466142255</v>
      </c>
      <c r="BM3" s="234">
        <f>'1_HDV calcs'!BJ44</f>
        <v>0.27365480234933887</v>
      </c>
      <c r="BN3" s="234">
        <f>'1_HDV calcs'!BK44</f>
        <v>0.27617812765071842</v>
      </c>
      <c r="BO3" s="234">
        <f>'1_HDV calcs'!BL44</f>
        <v>0.2772149115727004</v>
      </c>
      <c r="BP3" s="234">
        <f>'1_HDV calcs'!BM44</f>
        <v>0.27825851754970865</v>
      </c>
    </row>
    <row r="4" spans="1:68" s="233" customFormat="1" x14ac:dyDescent="0.25">
      <c r="A4" s="233" t="s">
        <v>552</v>
      </c>
      <c r="B4" s="233" t="s">
        <v>533</v>
      </c>
      <c r="C4" s="233" t="s">
        <v>534</v>
      </c>
      <c r="D4" s="233" t="s">
        <v>535</v>
      </c>
      <c r="E4" s="233" t="s">
        <v>530</v>
      </c>
      <c r="F4" s="233" t="s">
        <v>538</v>
      </c>
      <c r="G4" s="233" t="s">
        <v>531</v>
      </c>
      <c r="H4" s="234">
        <f>'1_HDV calcs'!E40</f>
        <v>0.24543710366392282</v>
      </c>
      <c r="I4" s="234">
        <f>'1_HDV calcs'!F40</f>
        <v>0.24588792616053645</v>
      </c>
      <c r="J4" s="234">
        <f>'1_HDV calcs'!G40</f>
        <v>0.24634027708480746</v>
      </c>
      <c r="K4" s="234">
        <f>'1_HDV calcs'!H40</f>
        <v>0.24679416310367844</v>
      </c>
      <c r="L4" s="234">
        <f>'1_HDV calcs'!I40</f>
        <v>0.24724959090916127</v>
      </c>
      <c r="M4" s="234">
        <f>'1_HDV calcs'!J40</f>
        <v>0.24770656721820902</v>
      </c>
      <c r="N4" s="234">
        <f>'1_HDV calcs'!K40</f>
        <v>0.24816509877258114</v>
      </c>
      <c r="O4" s="234">
        <f>'1_HDV calcs'!L40</f>
        <v>0.24862519233870026</v>
      </c>
      <c r="P4" s="234">
        <f>'1_HDV calcs'!M40</f>
        <v>0.24908685470750211</v>
      </c>
      <c r="Q4" s="234">
        <f>'1_HDV calcs'!N40</f>
        <v>0.24955009269427655</v>
      </c>
      <c r="R4" s="234">
        <f>'1_HDV calcs'!O40</f>
        <v>0.25001491313850133</v>
      </c>
      <c r="S4" s="234">
        <f>'1_HDV calcs'!P40</f>
        <v>0.25048132290366643</v>
      </c>
      <c r="T4" s="234">
        <f>'1_HDV calcs'!Q40</f>
        <v>0.25094932887709087</v>
      </c>
      <c r="U4" s="234">
        <f>'1_HDV calcs'!R40</f>
        <v>0.25141893796972942</v>
      </c>
      <c r="V4" s="234">
        <f>'1_HDV calcs'!S40</f>
        <v>0.25189015711597146</v>
      </c>
      <c r="W4" s="234">
        <f>'1_HDV calcs'!T40</f>
        <v>0.25236299327342893</v>
      </c>
      <c r="X4" s="234">
        <f>'1_HDV calcs'!U40</f>
        <v>0.25283745342271619</v>
      </c>
      <c r="Y4" s="234">
        <f>'1_HDV calcs'!V40</f>
        <v>0.25331354456721916</v>
      </c>
      <c r="Z4" s="234">
        <f>'1_HDV calcs'!W40</f>
        <v>0.25379127373285387</v>
      </c>
      <c r="AA4" s="234">
        <f>'1_HDV calcs'!X40</f>
        <v>0.25427064796781595</v>
      </c>
      <c r="AB4" s="234">
        <f>'1_HDV calcs'!Y40</f>
        <v>0.25475167434231788</v>
      </c>
      <c r="AC4" s="234">
        <f>'1_HDV calcs'!Z40</f>
        <v>0.25523435994831628</v>
      </c>
      <c r="AD4" s="234">
        <f>'1_HDV calcs'!AA40</f>
        <v>0.25571871189922718</v>
      </c>
      <c r="AE4" s="234">
        <f>'1_HDV calcs'!AB40</f>
        <v>0.25620473732963062</v>
      </c>
      <c r="AF4" s="234">
        <f>'1_HDV calcs'!AC40</f>
        <v>0.25669244339496194</v>
      </c>
      <c r="AG4" s="234">
        <f>'1_HDV calcs'!AD40</f>
        <v>0.25718183727119226</v>
      </c>
      <c r="AH4" s="234">
        <f>'1_HDV calcs'!AE40</f>
        <v>0.2576729261544955</v>
      </c>
      <c r="AI4" s="234">
        <f>'1_HDV calcs'!AF40</f>
        <v>0.25816571726090271</v>
      </c>
      <c r="AJ4" s="234">
        <f>'1_HDV calcs'!AG40</f>
        <v>0.25866021782594339</v>
      </c>
      <c r="AK4" s="234">
        <f>'1_HDV calcs'!AH40</f>
        <v>0.25915643510427255</v>
      </c>
      <c r="AL4" s="234">
        <f>'1_HDV calcs'!AI40</f>
        <v>0.25965437636928501</v>
      </c>
      <c r="AM4" s="234">
        <f>'1_HDV calcs'!AJ40</f>
        <v>0.26015404891271393</v>
      </c>
      <c r="AN4" s="234">
        <f>'1_HDV calcs'!AK40</f>
        <v>0.26065546004421597</v>
      </c>
      <c r="AO4" s="234">
        <f>'1_HDV calcs'!AL40</f>
        <v>0.26115861709094002</v>
      </c>
      <c r="AP4" s="234">
        <f>'1_HDV calcs'!AM40</f>
        <v>0.26166352739708182</v>
      </c>
      <c r="AQ4" s="234">
        <f>'1_HDV calcs'!AN40</f>
        <v>0.26217019832342148</v>
      </c>
      <c r="AR4" s="234">
        <f>'1_HDV calcs'!AO40</f>
        <v>0.26267863724684543</v>
      </c>
      <c r="AS4" s="234">
        <f>'1_HDV calcs'!AP40</f>
        <v>0.26318885155985117</v>
      </c>
      <c r="AT4" s="234">
        <f>'1_HDV calcs'!AQ40</f>
        <v>0.26370084867003518</v>
      </c>
      <c r="AU4" s="234">
        <f>'1_HDV calcs'!AR40</f>
        <v>0.26421463599956302</v>
      </c>
      <c r="AV4" s="234">
        <f>'1_HDV calcs'!AS40</f>
        <v>0.26473022098462096</v>
      </c>
      <c r="AW4" s="234">
        <f>'1_HDV calcs'!AT40</f>
        <v>0.26524761107484968</v>
      </c>
      <c r="AX4" s="234">
        <f>'1_HDV calcs'!AU40</f>
        <v>0.26576681373275834</v>
      </c>
      <c r="AY4" s="234">
        <f>'1_HDV calcs'!AV40</f>
        <v>0.26628783643311937</v>
      </c>
      <c r="AZ4" s="234">
        <f>'1_HDV calcs'!AW40</f>
        <v>0.26681068666234309</v>
      </c>
      <c r="BA4" s="234">
        <f>'1_HDV calcs'!AX40</f>
        <v>0.26733537191783152</v>
      </c>
      <c r="BB4" s="234">
        <f>'1_HDV calcs'!AY40</f>
        <v>0.26786189970731117</v>
      </c>
      <c r="BC4" s="234">
        <f>'1_HDV calcs'!AZ40</f>
        <v>0.26839027754814437</v>
      </c>
      <c r="BD4" s="234">
        <f>'1_HDV calcs'!BA40</f>
        <v>0.26892051296661768</v>
      </c>
      <c r="BE4" s="234">
        <f>'1_HDV calcs'!BB40</f>
        <v>0.26945261349720817</v>
      </c>
      <c r="BF4" s="234">
        <f>'1_HDV calcs'!BC40</f>
        <v>0.26998658668182551</v>
      </c>
      <c r="BG4" s="234">
        <f>'1_HDV calcs'!BD40</f>
        <v>0.27052244006903059</v>
      </c>
      <c r="BH4" s="234">
        <f>'1_HDV calcs'!BE40</f>
        <v>0.27106018121322889</v>
      </c>
      <c r="BI4" s="234">
        <f>'1_HDV calcs'!BF40</f>
        <v>0.27159981767383906</v>
      </c>
      <c r="BJ4" s="234">
        <f>'1_HDV calcs'!BG40</f>
        <v>0.27214135701443504</v>
      </c>
      <c r="BK4" s="234">
        <f>'1_HDV calcs'!BH40</f>
        <v>0.27268480680186147</v>
      </c>
      <c r="BL4" s="234">
        <f>'1_HDV calcs'!BI40</f>
        <v>0.27323017460532212</v>
      </c>
      <c r="BM4" s="234">
        <f>'1_HDV calcs'!BJ40</f>
        <v>0.27377746799543984</v>
      </c>
      <c r="BN4" s="234">
        <f>'1_HDV calcs'!BK40</f>
        <v>0.27432669454328762</v>
      </c>
      <c r="BO4" s="234">
        <f>'1_HDV calcs'!BL40</f>
        <v>0.27487786181939067</v>
      </c>
      <c r="BP4" s="234">
        <f>'1_HDV calcs'!BM40</f>
        <v>0.27543097739269712</v>
      </c>
    </row>
    <row r="5" spans="1:68" s="233" customFormat="1" x14ac:dyDescent="0.25">
      <c r="A5" s="233" t="s">
        <v>527</v>
      </c>
      <c r="B5" s="233" t="s">
        <v>533</v>
      </c>
      <c r="C5" s="233" t="s">
        <v>534</v>
      </c>
      <c r="D5" s="233" t="s">
        <v>535</v>
      </c>
      <c r="E5" s="233" t="s">
        <v>530</v>
      </c>
      <c r="F5" s="233" t="s">
        <v>538</v>
      </c>
      <c r="G5" s="233" t="s">
        <v>531</v>
      </c>
      <c r="H5" s="234">
        <f>'1_HDV calcs'!E40</f>
        <v>0.24543710366392282</v>
      </c>
      <c r="I5" s="234">
        <f>'1_HDV calcs'!F40</f>
        <v>0.24588792616053645</v>
      </c>
      <c r="J5" s="234">
        <f>'1_HDV calcs'!G40</f>
        <v>0.24634027708480746</v>
      </c>
      <c r="K5" s="234">
        <f>'1_HDV calcs'!H40</f>
        <v>0.24679416310367844</v>
      </c>
      <c r="L5" s="234">
        <f>'1_HDV calcs'!I40</f>
        <v>0.24724959090916127</v>
      </c>
      <c r="M5" s="234">
        <f>'1_HDV calcs'!J40</f>
        <v>0.24770656721820902</v>
      </c>
      <c r="N5" s="234">
        <f>'1_HDV calcs'!K40</f>
        <v>0.24816509877258114</v>
      </c>
      <c r="O5" s="234">
        <f>'1_HDV calcs'!L40</f>
        <v>0.24862519233870026</v>
      </c>
      <c r="P5" s="234">
        <f>'1_HDV calcs'!M40</f>
        <v>0.24908685470750211</v>
      </c>
      <c r="Q5" s="234">
        <f>'1_HDV calcs'!N40</f>
        <v>0.24955009269427655</v>
      </c>
      <c r="R5" s="234">
        <f>'1_HDV calcs'!O40</f>
        <v>0.25001491313850133</v>
      </c>
      <c r="S5" s="234">
        <f>'1_HDV calcs'!P40</f>
        <v>0.25048132290366643</v>
      </c>
      <c r="T5" s="234">
        <f>'1_HDV calcs'!Q40</f>
        <v>0.25094932887709087</v>
      </c>
      <c r="U5" s="234">
        <f>'1_HDV calcs'!R40</f>
        <v>0.25141893796972942</v>
      </c>
      <c r="V5" s="234">
        <f>'1_HDV calcs'!S40</f>
        <v>0.25189015711597146</v>
      </c>
      <c r="W5" s="234">
        <f>'1_HDV calcs'!T40</f>
        <v>0.25236299327342893</v>
      </c>
      <c r="X5" s="234">
        <f>'1_HDV calcs'!U40</f>
        <v>0.25283745342271619</v>
      </c>
      <c r="Y5" s="234">
        <f>'1_HDV calcs'!V40</f>
        <v>0.25331354456721916</v>
      </c>
      <c r="Z5" s="234">
        <f>'1_HDV calcs'!W40</f>
        <v>0.25379127373285387</v>
      </c>
      <c r="AA5" s="234">
        <f>'1_HDV calcs'!X40</f>
        <v>0.25427064796781595</v>
      </c>
      <c r="AB5" s="234">
        <f>'1_HDV calcs'!Y40</f>
        <v>0.25475167434231788</v>
      </c>
      <c r="AC5" s="234">
        <f>'1_HDV calcs'!Z40</f>
        <v>0.25523435994831628</v>
      </c>
      <c r="AD5" s="234">
        <f>'1_HDV calcs'!AA40</f>
        <v>0.25571871189922718</v>
      </c>
      <c r="AE5" s="234">
        <f>'1_HDV calcs'!AB40</f>
        <v>0.25620473732963062</v>
      </c>
      <c r="AF5" s="234">
        <f>'1_HDV calcs'!AC40</f>
        <v>0.25669244339496194</v>
      </c>
      <c r="AG5" s="234">
        <f>'1_HDV calcs'!AD40</f>
        <v>0.25718183727119226</v>
      </c>
      <c r="AH5" s="234">
        <f>'1_HDV calcs'!AE40</f>
        <v>0.2576729261544955</v>
      </c>
      <c r="AI5" s="234">
        <f>'1_HDV calcs'!AF40</f>
        <v>0.25816571726090271</v>
      </c>
      <c r="AJ5" s="234">
        <f>'1_HDV calcs'!AG40</f>
        <v>0.25866021782594339</v>
      </c>
      <c r="AK5" s="234">
        <f>'1_HDV calcs'!AH40</f>
        <v>0.25915643510427255</v>
      </c>
      <c r="AL5" s="234">
        <f>'1_HDV calcs'!AI40</f>
        <v>0.25965437636928501</v>
      </c>
      <c r="AM5" s="234">
        <f>'1_HDV calcs'!AJ40</f>
        <v>0.26015404891271393</v>
      </c>
      <c r="AN5" s="234">
        <f>'1_HDV calcs'!AK40</f>
        <v>0.26065546004421597</v>
      </c>
      <c r="AO5" s="234">
        <f>'1_HDV calcs'!AL40</f>
        <v>0.26115861709094002</v>
      </c>
      <c r="AP5" s="234">
        <f>'1_HDV calcs'!AM40</f>
        <v>0.26166352739708182</v>
      </c>
      <c r="AQ5" s="234">
        <f>'1_HDV calcs'!AN40</f>
        <v>0.26217019832342148</v>
      </c>
      <c r="AR5" s="234">
        <f>'1_HDV calcs'!AO40</f>
        <v>0.26267863724684543</v>
      </c>
      <c r="AS5" s="234">
        <f>'1_HDV calcs'!AP40</f>
        <v>0.26318885155985117</v>
      </c>
      <c r="AT5" s="234">
        <f>'1_HDV calcs'!AQ40</f>
        <v>0.26370084867003518</v>
      </c>
      <c r="AU5" s="234">
        <f>'1_HDV calcs'!AR40</f>
        <v>0.26421463599956302</v>
      </c>
      <c r="AV5" s="234">
        <f>'1_HDV calcs'!AS40</f>
        <v>0.26473022098462096</v>
      </c>
      <c r="AW5" s="234">
        <f>'1_HDV calcs'!AT40</f>
        <v>0.26524761107484968</v>
      </c>
      <c r="AX5" s="234">
        <f>'1_HDV calcs'!AU40</f>
        <v>0.26576681373275834</v>
      </c>
      <c r="AY5" s="234">
        <f>'1_HDV calcs'!AV40</f>
        <v>0.26628783643311937</v>
      </c>
      <c r="AZ5" s="234">
        <f>'1_HDV calcs'!AW40</f>
        <v>0.26681068666234309</v>
      </c>
      <c r="BA5" s="234">
        <f>'1_HDV calcs'!AX40</f>
        <v>0.26733537191783152</v>
      </c>
      <c r="BB5" s="234">
        <f>'1_HDV calcs'!AY40</f>
        <v>0.26786189970731117</v>
      </c>
      <c r="BC5" s="234">
        <f>'1_HDV calcs'!AZ40</f>
        <v>0.26839027754814437</v>
      </c>
      <c r="BD5" s="234">
        <f>'1_HDV calcs'!BA40</f>
        <v>0.26892051296661768</v>
      </c>
      <c r="BE5" s="234">
        <f>'1_HDV calcs'!BB40</f>
        <v>0.26945261349720817</v>
      </c>
      <c r="BF5" s="234">
        <f>'1_HDV calcs'!BC40</f>
        <v>0.26998658668182551</v>
      </c>
      <c r="BG5" s="234">
        <f>'1_HDV calcs'!BD40</f>
        <v>0.27052244006903059</v>
      </c>
      <c r="BH5" s="234">
        <f>'1_HDV calcs'!BE40</f>
        <v>0.27106018121322889</v>
      </c>
      <c r="BI5" s="234">
        <f>'1_HDV calcs'!BF40</f>
        <v>0.27159981767383906</v>
      </c>
      <c r="BJ5" s="234">
        <f>'1_HDV calcs'!BG40</f>
        <v>0.27214135701443504</v>
      </c>
      <c r="BK5" s="234">
        <f>'1_HDV calcs'!BH40</f>
        <v>0.27268480680186147</v>
      </c>
      <c r="BL5" s="234">
        <f>'1_HDV calcs'!BI40</f>
        <v>0.27323017460532212</v>
      </c>
      <c r="BM5" s="234">
        <f>'1_HDV calcs'!BJ40</f>
        <v>0.27377746799543984</v>
      </c>
      <c r="BN5" s="234">
        <f>'1_HDV calcs'!BK40</f>
        <v>0.27432669454328762</v>
      </c>
      <c r="BO5" s="234">
        <f>'1_HDV calcs'!BL40</f>
        <v>0.27487786181939067</v>
      </c>
      <c r="BP5" s="234">
        <f>'1_HDV calcs'!BM40</f>
        <v>0.27543097739269712</v>
      </c>
    </row>
    <row r="6" spans="1:68" s="233" customFormat="1" x14ac:dyDescent="0.25">
      <c r="A6" s="233" t="s">
        <v>528</v>
      </c>
      <c r="B6" s="233" t="s">
        <v>533</v>
      </c>
      <c r="C6" s="233" t="s">
        <v>534</v>
      </c>
      <c r="D6" s="233" t="s">
        <v>535</v>
      </c>
      <c r="E6" s="233" t="s">
        <v>530</v>
      </c>
      <c r="F6" s="233" t="s">
        <v>538</v>
      </c>
      <c r="G6" s="233" t="s">
        <v>531</v>
      </c>
      <c r="H6" s="234">
        <f>'1_HDV calcs'!E40</f>
        <v>0.24543710366392282</v>
      </c>
      <c r="I6" s="234">
        <f>'1_HDV calcs'!F40</f>
        <v>0.24588792616053645</v>
      </c>
      <c r="J6" s="234">
        <f>'1_HDV calcs'!G40</f>
        <v>0.24634027708480746</v>
      </c>
      <c r="K6" s="234">
        <f>'1_HDV calcs'!H40</f>
        <v>0.24679416310367844</v>
      </c>
      <c r="L6" s="234">
        <f>'1_HDV calcs'!I40</f>
        <v>0.24724959090916127</v>
      </c>
      <c r="M6" s="234">
        <f>'1_HDV calcs'!J40</f>
        <v>0.24770656721820902</v>
      </c>
      <c r="N6" s="234">
        <f>'1_HDV calcs'!K40</f>
        <v>0.24816509877258114</v>
      </c>
      <c r="O6" s="234">
        <f>'1_HDV calcs'!L40</f>
        <v>0.24862519233870026</v>
      </c>
      <c r="P6" s="234">
        <f>'1_HDV calcs'!M40</f>
        <v>0.24908685470750211</v>
      </c>
      <c r="Q6" s="234">
        <f>'1_HDV calcs'!N40</f>
        <v>0.24955009269427655</v>
      </c>
      <c r="R6" s="234">
        <f>'1_HDV calcs'!O40</f>
        <v>0.25001491313850133</v>
      </c>
      <c r="S6" s="234">
        <f>'1_HDV calcs'!P40</f>
        <v>0.25048132290366643</v>
      </c>
      <c r="T6" s="234">
        <f>'1_HDV calcs'!Q40</f>
        <v>0.25094932887709087</v>
      </c>
      <c r="U6" s="234">
        <f>'1_HDV calcs'!R40</f>
        <v>0.25141893796972942</v>
      </c>
      <c r="V6" s="234">
        <f>'1_HDV calcs'!S40</f>
        <v>0.25189015711597146</v>
      </c>
      <c r="W6" s="234">
        <f>'1_HDV calcs'!T40</f>
        <v>0.25236299327342893</v>
      </c>
      <c r="X6" s="234">
        <f>'1_HDV calcs'!U40</f>
        <v>0.25283745342271619</v>
      </c>
      <c r="Y6" s="234">
        <f>'1_HDV calcs'!V40</f>
        <v>0.25331354456721916</v>
      </c>
      <c r="Z6" s="234">
        <f>'1_HDV calcs'!W40</f>
        <v>0.25379127373285387</v>
      </c>
      <c r="AA6" s="234">
        <f>'1_HDV calcs'!X40</f>
        <v>0.25427064796781595</v>
      </c>
      <c r="AB6" s="234">
        <f>'1_HDV calcs'!Y40</f>
        <v>0.25475167434231788</v>
      </c>
      <c r="AC6" s="234">
        <f>'1_HDV calcs'!Z40</f>
        <v>0.25523435994831628</v>
      </c>
      <c r="AD6" s="234">
        <f>'1_HDV calcs'!AA40</f>
        <v>0.25571871189922718</v>
      </c>
      <c r="AE6" s="234">
        <f>'1_HDV calcs'!AB40</f>
        <v>0.25620473732963062</v>
      </c>
      <c r="AF6" s="234">
        <f>'1_HDV calcs'!AC40</f>
        <v>0.25669244339496194</v>
      </c>
      <c r="AG6" s="234">
        <f>'1_HDV calcs'!AD40</f>
        <v>0.25718183727119226</v>
      </c>
      <c r="AH6" s="234">
        <f>'1_HDV calcs'!AE40</f>
        <v>0.2576729261544955</v>
      </c>
      <c r="AI6" s="234">
        <f>'1_HDV calcs'!AF40</f>
        <v>0.25816571726090271</v>
      </c>
      <c r="AJ6" s="234">
        <f>'1_HDV calcs'!AG40</f>
        <v>0.25866021782594339</v>
      </c>
      <c r="AK6" s="234">
        <f>'1_HDV calcs'!AH40</f>
        <v>0.25915643510427255</v>
      </c>
      <c r="AL6" s="234">
        <f>'1_HDV calcs'!AI40</f>
        <v>0.25965437636928501</v>
      </c>
      <c r="AM6" s="234">
        <f>'1_HDV calcs'!AJ40</f>
        <v>0.26015404891271393</v>
      </c>
      <c r="AN6" s="234">
        <f>'1_HDV calcs'!AK40</f>
        <v>0.26065546004421597</v>
      </c>
      <c r="AO6" s="234">
        <f>'1_HDV calcs'!AL40</f>
        <v>0.26115861709094002</v>
      </c>
      <c r="AP6" s="234">
        <f>'1_HDV calcs'!AM40</f>
        <v>0.26166352739708182</v>
      </c>
      <c r="AQ6" s="234">
        <f>'1_HDV calcs'!AN40</f>
        <v>0.26217019832342148</v>
      </c>
      <c r="AR6" s="234">
        <f>'1_HDV calcs'!AO40</f>
        <v>0.26267863724684543</v>
      </c>
      <c r="AS6" s="234">
        <f>'1_HDV calcs'!AP40</f>
        <v>0.26318885155985117</v>
      </c>
      <c r="AT6" s="234">
        <f>'1_HDV calcs'!AQ40</f>
        <v>0.26370084867003518</v>
      </c>
      <c r="AU6" s="234">
        <f>'1_HDV calcs'!AR40</f>
        <v>0.26421463599956302</v>
      </c>
      <c r="AV6" s="234">
        <f>'1_HDV calcs'!AS40</f>
        <v>0.26473022098462096</v>
      </c>
      <c r="AW6" s="234">
        <f>'1_HDV calcs'!AT40</f>
        <v>0.26524761107484968</v>
      </c>
      <c r="AX6" s="234">
        <f>'1_HDV calcs'!AU40</f>
        <v>0.26576681373275834</v>
      </c>
      <c r="AY6" s="234">
        <f>'1_HDV calcs'!AV40</f>
        <v>0.26628783643311937</v>
      </c>
      <c r="AZ6" s="234">
        <f>'1_HDV calcs'!AW40</f>
        <v>0.26681068666234309</v>
      </c>
      <c r="BA6" s="234">
        <f>'1_HDV calcs'!AX40</f>
        <v>0.26733537191783152</v>
      </c>
      <c r="BB6" s="234">
        <f>'1_HDV calcs'!AY40</f>
        <v>0.26786189970731117</v>
      </c>
      <c r="BC6" s="234">
        <f>'1_HDV calcs'!AZ40</f>
        <v>0.26839027754814437</v>
      </c>
      <c r="BD6" s="234">
        <f>'1_HDV calcs'!BA40</f>
        <v>0.26892051296661768</v>
      </c>
      <c r="BE6" s="234">
        <f>'1_HDV calcs'!BB40</f>
        <v>0.26945261349720817</v>
      </c>
      <c r="BF6" s="234">
        <f>'1_HDV calcs'!BC40</f>
        <v>0.26998658668182551</v>
      </c>
      <c r="BG6" s="234">
        <f>'1_HDV calcs'!BD40</f>
        <v>0.27052244006903059</v>
      </c>
      <c r="BH6" s="234">
        <f>'1_HDV calcs'!BE40</f>
        <v>0.27106018121322889</v>
      </c>
      <c r="BI6" s="234">
        <f>'1_HDV calcs'!BF40</f>
        <v>0.27159981767383906</v>
      </c>
      <c r="BJ6" s="234">
        <f>'1_HDV calcs'!BG40</f>
        <v>0.27214135701443504</v>
      </c>
      <c r="BK6" s="234">
        <f>'1_HDV calcs'!BH40</f>
        <v>0.27268480680186147</v>
      </c>
      <c r="BL6" s="234">
        <f>'1_HDV calcs'!BI40</f>
        <v>0.27323017460532212</v>
      </c>
      <c r="BM6" s="234">
        <f>'1_HDV calcs'!BJ40</f>
        <v>0.27377746799543984</v>
      </c>
      <c r="BN6" s="234">
        <f>'1_HDV calcs'!BK40</f>
        <v>0.27432669454328762</v>
      </c>
      <c r="BO6" s="234">
        <f>'1_HDV calcs'!BL40</f>
        <v>0.27487786181939067</v>
      </c>
      <c r="BP6" s="234">
        <f>'1_HDV calcs'!BM40</f>
        <v>0.27543097739269712</v>
      </c>
    </row>
    <row r="7" spans="1:68" s="233" customFormat="1" x14ac:dyDescent="0.25">
      <c r="A7" s="233" t="s">
        <v>529</v>
      </c>
      <c r="B7" s="233" t="s">
        <v>533</v>
      </c>
      <c r="C7" s="233" t="s">
        <v>534</v>
      </c>
      <c r="D7" s="233" t="s">
        <v>535</v>
      </c>
      <c r="E7" s="233" t="s">
        <v>530</v>
      </c>
      <c r="F7" s="233" t="s">
        <v>538</v>
      </c>
      <c r="G7" s="233" t="s">
        <v>531</v>
      </c>
      <c r="H7" s="234">
        <f>'1_HDV calcs'!E42</f>
        <v>0.41502167545910412</v>
      </c>
      <c r="I7" s="234">
        <f>'1_HDV calcs'!F42</f>
        <v>0.40746431161349866</v>
      </c>
      <c r="J7" s="234">
        <f>'1_HDV calcs'!G42</f>
        <v>0.4000846216179641</v>
      </c>
      <c r="K7" s="234">
        <f>'1_HDV calcs'!H42</f>
        <v>0.39298793949462857</v>
      </c>
      <c r="L7" s="234">
        <f>'1_HDV calcs'!I42</f>
        <v>0.3862378346610621</v>
      </c>
      <c r="M7" s="234">
        <f>'1_HDV calcs'!J42</f>
        <v>0.37986901169689496</v>
      </c>
      <c r="N7" s="234">
        <f>'1_HDV calcs'!K42</f>
        <v>0.3738966440830685</v>
      </c>
      <c r="O7" s="234">
        <f>'1_HDV calcs'!L42</f>
        <v>0.36832293426126611</v>
      </c>
      <c r="P7" s="234">
        <f>'1_HDV calcs'!M42</f>
        <v>0.36314166179179347</v>
      </c>
      <c r="Q7" s="234">
        <f>'1_HDV calcs'!N42</f>
        <v>0.3583413085883857</v>
      </c>
      <c r="R7" s="234">
        <f>'1_HDV calcs'!O42</f>
        <v>0.35390719066550858</v>
      </c>
      <c r="S7" s="234">
        <f>'1_HDV calcs'!P42</f>
        <v>0.34982290073402872</v>
      </c>
      <c r="T7" s="234">
        <f>'1_HDV calcs'!Q42</f>
        <v>0.34607127430975465</v>
      </c>
      <c r="U7" s="234">
        <f>'1_HDV calcs'!R42</f>
        <v>0.34263502696889409</v>
      </c>
      <c r="V7" s="234">
        <f>'1_HDV calcs'!S42</f>
        <v>0.33949716498762272</v>
      </c>
      <c r="W7" s="234">
        <f>'1_HDV calcs'!T42</f>
        <v>0.33664124014780605</v>
      </c>
      <c r="X7" s="234">
        <f>'1_HDV calcs'!U42</f>
        <v>0.3340514977541158</v>
      </c>
      <c r="Y7" s="234">
        <f>'1_HDV calcs'!V42</f>
        <v>0.33171295188595634</v>
      </c>
      <c r="Z7" s="234">
        <f>'1_HDV calcs'!W42</f>
        <v>0.32961141151002393</v>
      </c>
      <c r="AA7" s="234">
        <f>'1_HDV calcs'!X42</f>
        <v>0.32773347386565932</v>
      </c>
      <c r="AB7" s="234">
        <f>'1_HDV calcs'!Y42</f>
        <v>0.326066496517533</v>
      </c>
      <c r="AC7" s="234">
        <f>'1_HDV calcs'!Z42</f>
        <v>0.32459855597152959</v>
      </c>
      <c r="AD7" s="234">
        <f>'1_HDV calcs'!AA42</f>
        <v>0.32331839830522102</v>
      </c>
      <c r="AE7" s="234">
        <f>'1_HDV calcs'!AB42</f>
        <v>0.3222153855541896</v>
      </c>
      <c r="AF7" s="234">
        <f>'1_HDV calcs'!AC42</f>
        <v>0.32127944039871154</v>
      </c>
      <c r="AG7" s="234">
        <f>'1_HDV calcs'!AD42</f>
        <v>0.32050099085874573</v>
      </c>
      <c r="AH7" s="234">
        <f>'1_HDV calcs'!AE42</f>
        <v>0.31987091612208257</v>
      </c>
      <c r="AI7" s="234">
        <f>'1_HDV calcs'!AF42</f>
        <v>0.31938049422628217</v>
      </c>
      <c r="AJ7" s="234">
        <f>'1_HDV calcs'!AG42</f>
        <v>0.31902135203727755</v>
      </c>
      <c r="AK7" s="234">
        <f>'1_HDV calcs'!AH42</f>
        <v>0.31878541777928449</v>
      </c>
      <c r="AL7" s="234">
        <f>'1_HDV calcs'!AI42</f>
        <v>0.3186648762457916</v>
      </c>
      <c r="AM7" s="234">
        <f>'1_HDV calcs'!AJ42</f>
        <v>0.31865212674129878</v>
      </c>
      <c r="AN7" s="234">
        <f>'1_HDV calcs'!AK42</f>
        <v>0.3187397437548608</v>
      </c>
      <c r="AO7" s="234">
        <f>'1_HDV calcs'!AL42</f>
        <v>0.31892044033982819</v>
      </c>
      <c r="AP7" s="234">
        <f>'1_HDV calcs'!AM42</f>
        <v>0.31918703416261118</v>
      </c>
      <c r="AQ7" s="234">
        <f>'1_HDV calcs'!AN42</f>
        <v>0.31953241618180639</v>
      </c>
      <c r="AR7" s="234">
        <f>'1_HDV calcs'!AO42</f>
        <v>0.31994952192397969</v>
      </c>
      <c r="AS7" s="234">
        <f>'1_HDV calcs'!AP42</f>
        <v>0.32043130533109326</v>
      </c>
      <c r="AT7" s="234">
        <f>'1_HDV calcs'!AQ42</f>
        <v>0.32097071516497871</v>
      </c>
      <c r="AU7" s="234">
        <f>'1_HDV calcs'!AR42</f>
        <v>0.32156067396489035</v>
      </c>
      <c r="AV7" s="234">
        <f>'1_HDV calcs'!AS42</f>
        <v>0.32219405956389563</v>
      </c>
      <c r="AW7" s="234">
        <f>'1_HDV calcs'!AT42</f>
        <v>0.32286368917782127</v>
      </c>
      <c r="AX7" s="234">
        <f>'1_HDV calcs'!AU42</f>
        <v>0.32356230608609804</v>
      </c>
      <c r="AY7" s="234">
        <f>'1_HDV calcs'!AV42</f>
        <v>0.32428256892675206</v>
      </c>
      <c r="AZ7" s="234">
        <f>'1_HDV calcs'!AW42</f>
        <v>0.32501704362780254</v>
      </c>
      <c r="BA7" s="234">
        <f>'1_HDV calcs'!AX42</f>
        <v>0.32575819799449873</v>
      </c>
      <c r="BB7" s="234">
        <f>'1_HDV calcs'!AY42</f>
        <v>0.32649839896638683</v>
      </c>
      <c r="BC7" s="234">
        <f>'1_HDV calcs'!AZ42</f>
        <v>0.32722991255061729</v>
      </c>
      <c r="BD7" s="234">
        <f>'1_HDV calcs'!BA42</f>
        <v>0.32794490642883795</v>
      </c>
      <c r="BE7" s="234">
        <f>'1_HDV calcs'!BB42</f>
        <v>0.32863545522533116</v>
      </c>
      <c r="BF7" s="234">
        <f>'1_HDV calcs'!BC42</f>
        <v>0.32929354841476582</v>
      </c>
      <c r="BG7" s="234">
        <f>'1_HDV calcs'!BD42</f>
        <v>0.32991110084016995</v>
      </c>
      <c r="BH7" s="234">
        <f>'1_HDV calcs'!BE42</f>
        <v>0.33047996580666095</v>
      </c>
      <c r="BI7" s="234">
        <f>'1_HDV calcs'!BF42</f>
        <v>0.33099195071518112</v>
      </c>
      <c r="BJ7" s="234">
        <f>'1_HDV calcs'!BG42</f>
        <v>0.33143883520389222</v>
      </c>
      <c r="BK7" s="234">
        <f>'1_HDV calcs'!BH42</f>
        <v>0.33181239177353516</v>
      </c>
      <c r="BL7" s="234">
        <f>'1_HDV calcs'!BI42</f>
        <v>0.33210440888704307</v>
      </c>
      <c r="BM7" s="234">
        <f>'1_HDV calcs'!BJ42</f>
        <v>0.33230671655243121</v>
      </c>
      <c r="BN7" s="234">
        <f>'1_HDV calcs'!BK42</f>
        <v>0.33241121442011434</v>
      </c>
      <c r="BO7" s="234">
        <f>'1_HDV calcs'!BL42</f>
        <v>0.33240990244910357</v>
      </c>
      <c r="BP7" s="234">
        <f>'1_HDV calcs'!BM42</f>
        <v>0.332294914217872</v>
      </c>
    </row>
    <row r="8" spans="1:68" s="238" customFormat="1" x14ac:dyDescent="0.25">
      <c r="A8" s="238" t="s">
        <v>551</v>
      </c>
      <c r="B8" s="238" t="s">
        <v>533</v>
      </c>
      <c r="C8" s="238" t="s">
        <v>534</v>
      </c>
      <c r="D8" s="238" t="s">
        <v>535</v>
      </c>
      <c r="E8" s="238" t="s">
        <v>530</v>
      </c>
      <c r="F8" s="238" t="s">
        <v>538</v>
      </c>
      <c r="G8" s="238" t="s">
        <v>531</v>
      </c>
      <c r="H8" s="239">
        <f>'1_HDV calcs'!E41</f>
        <v>0.31512404452781795</v>
      </c>
      <c r="I8" s="239">
        <f>'1_HDV calcs'!F41</f>
        <v>0.31231197364851887</v>
      </c>
      <c r="J8" s="239">
        <f>'1_HDV calcs'!G41</f>
        <v>0.30969312869773225</v>
      </c>
      <c r="K8" s="239">
        <f>'1_HDV calcs'!H41</f>
        <v>0.30725759686320681</v>
      </c>
      <c r="L8" s="239">
        <f>'1_HDV calcs'!I41</f>
        <v>0.3049960721601444</v>
      </c>
      <c r="M8" s="239">
        <f>'1_HDV calcs'!J41</f>
        <v>0.30289980368592373</v>
      </c>
      <c r="N8" s="239">
        <f>'1_HDV calcs'!K41</f>
        <v>0.30096056823702894</v>
      </c>
      <c r="O8" s="239">
        <f>'1_HDV calcs'!L41</f>
        <v>0.29917064037524022</v>
      </c>
      <c r="P8" s="239">
        <f>'1_HDV calcs'!M41</f>
        <v>0.29752276132833388</v>
      </c>
      <c r="Q8" s="239">
        <f>'1_HDV calcs'!N41</f>
        <v>0.29601010768833513</v>
      </c>
      <c r="R8" s="239">
        <f>'1_HDV calcs'!O41</f>
        <v>0.29462626056442587</v>
      </c>
      <c r="S8" s="239">
        <f>'1_HDV calcs'!P41</f>
        <v>0.29336517562641906</v>
      </c>
      <c r="T8" s="239">
        <f>'1_HDV calcs'!Q41</f>
        <v>0.29222115431539758</v>
      </c>
      <c r="U8" s="239">
        <f>'1_HDV calcs'!R41</f>
        <v>0.29118881638405425</v>
      </c>
      <c r="V8" s="239">
        <f>'1_HDV calcs'!S41</f>
        <v>0.29026307384831601</v>
      </c>
      <c r="W8" s="239">
        <f>'1_HDV calcs'!T41</f>
        <v>0.28943910637510673</v>
      </c>
      <c r="X8" s="239">
        <f>'1_HDV calcs'!U41</f>
        <v>0.28871233809209373</v>
      </c>
      <c r="Y8" s="239">
        <f>'1_HDV calcs'!V41</f>
        <v>0.28807841577918303</v>
      </c>
      <c r="Z8" s="239">
        <f>'1_HDV calcs'!W41</f>
        <v>0.28753318838485986</v>
      </c>
      <c r="AA8" s="239">
        <f>'1_HDV calcs'!X41</f>
        <v>0.28707268780062284</v>
      </c>
      <c r="AB8" s="239">
        <f>'1_HDV calcs'!Y41</f>
        <v>0.28669311082182447</v>
      </c>
      <c r="AC8" s="239">
        <f>'1_HDV calcs'!Z41</f>
        <v>0.28639080222179691</v>
      </c>
      <c r="AD8" s="239">
        <f>'1_HDV calcs'!AA41</f>
        <v>0.28616223886717956</v>
      </c>
      <c r="AE8" s="239">
        <f>'1_HDV calcs'!AB41</f>
        <v>0.2860040148051135</v>
      </c>
      <c r="AF8" s="239">
        <f>'1_HDV calcs'!AC41</f>
        <v>0.28591282725686962</v>
      </c>
      <c r="AG8" s="239">
        <f>'1_HDV calcs'!AD41</f>
        <v>0.28588546345712496</v>
      </c>
      <c r="AH8" s="239">
        <f>'1_HDV calcs'!AE41</f>
        <v>0.28591878828319883</v>
      </c>
      <c r="AI8" s="239">
        <f>'1_HDV calcs'!AF41</f>
        <v>0.28600973262390073</v>
      </c>
      <c r="AJ8" s="239">
        <f>'1_HDV calcs'!AG41</f>
        <v>0.28615528244305727</v>
      </c>
      <c r="AK8" s="239">
        <f>'1_HDV calcs'!AH41</f>
        <v>0.28635246849817902</v>
      </c>
      <c r="AL8" s="239">
        <f>'1_HDV calcs'!AI41</f>
        <v>0.28659835668001549</v>
      </c>
      <c r="AM8" s="239">
        <f>'1_HDV calcs'!AJ41</f>
        <v>0.28689003894386689</v>
      </c>
      <c r="AN8" s="239">
        <f>'1_HDV calcs'!AK41</f>
        <v>0.28722462480845024</v>
      </c>
      <c r="AO8" s="239">
        <f>'1_HDV calcs'!AL41</f>
        <v>0.2875992334028013</v>
      </c>
      <c r="AP8" s="239">
        <f>'1_HDV calcs'!AM41</f>
        <v>0.28801098604613845</v>
      </c>
      <c r="AQ8" s="239">
        <f>'1_HDV calcs'!AN41</f>
        <v>0.28845699934977886</v>
      </c>
      <c r="AR8" s="239">
        <f>'1_HDV calcs'!AO41</f>
        <v>0.28893437883408096</v>
      </c>
      <c r="AS8" s="239">
        <f>'1_HDV calcs'!AP41</f>
        <v>0.28944021305697287</v>
      </c>
      <c r="AT8" s="239">
        <f>'1_HDV calcs'!AQ41</f>
        <v>0.28997156825390069</v>
      </c>
      <c r="AU8" s="239">
        <f>'1_HDV calcs'!AR41</f>
        <v>0.29052548349198315</v>
      </c>
      <c r="AV8" s="239">
        <f>'1_HDV calcs'!AS41</f>
        <v>0.29109896634377785</v>
      </c>
      <c r="AW8" s="239">
        <f>'1_HDV calcs'!AT41</f>
        <v>0.29168898908834057</v>
      </c>
      <c r="AX8" s="239">
        <f>'1_HDV calcs'!AU41</f>
        <v>0.29229248544918041</v>
      </c>
      <c r="AY8" s="239">
        <f>'1_HDV calcs'!AV41</f>
        <v>0.29290634788027187</v>
      </c>
      <c r="AZ8" s="239">
        <f>'1_HDV calcs'!AW41</f>
        <v>0.29352742541247889</v>
      </c>
      <c r="BA8" s="239">
        <f>'1_HDV calcs'!AX41</f>
        <v>0.29415252207357001</v>
      </c>
      <c r="BB8" s="239">
        <f>'1_HDV calcs'!AY41</f>
        <v>0.29477839589545518</v>
      </c>
      <c r="BC8" s="239">
        <f>'1_HDV calcs'!AZ41</f>
        <v>0.29540175852237238</v>
      </c>
      <c r="BD8" s="239">
        <f>'1_HDV calcs'!BA41</f>
        <v>0.29601927543349282</v>
      </c>
      <c r="BE8" s="239">
        <f>'1_HDV calcs'!BB41</f>
        <v>0.29662756679282276</v>
      </c>
      <c r="BF8" s="239">
        <f>'1_HDV calcs'!BC41</f>
        <v>0.29722320893838222</v>
      </c>
      <c r="BG8" s="239">
        <f>'1_HDV calcs'!BD41</f>
        <v>0.29780273652145406</v>
      </c>
      <c r="BH8" s="239">
        <f>'1_HDV calcs'!BE41</f>
        <v>0.29836264530526935</v>
      </c>
      <c r="BI8" s="239">
        <f>'1_HDV calcs'!BF41</f>
        <v>0.29889939563084361</v>
      </c>
      <c r="BJ8" s="239">
        <f>'1_HDV calcs'!BG41</f>
        <v>0.29940941655586806</v>
      </c>
      <c r="BK8" s="239">
        <f>'1_HDV calcs'!BH41</f>
        <v>0.29988911067059976</v>
      </c>
      <c r="BL8" s="239">
        <f>'1_HDV calcs'!BI41</f>
        <v>0.3003348595926425</v>
      </c>
      <c r="BM8" s="239">
        <f>'1_HDV calcs'!BJ41</f>
        <v>0.30074303014038839</v>
      </c>
      <c r="BN8" s="239">
        <f>'1_HDV calcs'!BK41</f>
        <v>0.30110998118271198</v>
      </c>
      <c r="BO8" s="239">
        <f>'1_HDV calcs'!BL41</f>
        <v>0.30143207116029613</v>
      </c>
      <c r="BP8" s="239">
        <f>'1_HDV calcs'!BM41</f>
        <v>0.30170566627169493</v>
      </c>
    </row>
    <row r="9" spans="1:68" s="233" customFormat="1" x14ac:dyDescent="0.25"/>
    <row r="10" spans="1:68" s="233" customFormat="1" x14ac:dyDescent="0.25"/>
    <row r="11" spans="1:68" s="233" customFormat="1" x14ac:dyDescent="0.25"/>
    <row r="12" spans="1:68" s="233" customFormat="1" x14ac:dyDescent="0.25"/>
    <row r="13" spans="1:68" s="233" customFormat="1" x14ac:dyDescent="0.25"/>
    <row r="14" spans="1:68" s="233" customFormat="1" x14ac:dyDescent="0.25"/>
    <row r="15" spans="1:68" s="233" customFormat="1" x14ac:dyDescent="0.25"/>
    <row r="16" spans="1:68" s="233" customFormat="1" x14ac:dyDescent="0.25"/>
    <row r="17" s="233" customFormat="1" x14ac:dyDescent="0.25"/>
    <row r="18" s="233" customFormat="1" x14ac:dyDescent="0.25"/>
    <row r="19" s="233" customFormat="1" x14ac:dyDescent="0.25"/>
    <row r="20" s="233" customFormat="1" x14ac:dyDescent="0.25"/>
    <row r="21" s="233" customFormat="1" x14ac:dyDescent="0.25"/>
    <row r="22" s="233" customFormat="1" x14ac:dyDescent="0.25"/>
    <row r="23" s="233" customFormat="1" x14ac:dyDescent="0.25"/>
    <row r="24" s="233" customFormat="1" x14ac:dyDescent="0.25"/>
    <row r="25" s="233" customFormat="1" x14ac:dyDescent="0.25"/>
    <row r="26" s="233" customFormat="1" x14ac:dyDescent="0.25"/>
  </sheetData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M19"/>
  <sheetViews>
    <sheetView topLeftCell="B1" workbookViewId="0">
      <selection activeCell="B22" sqref="B22"/>
    </sheetView>
  </sheetViews>
  <sheetFormatPr defaultColWidth="10.5" defaultRowHeight="15.75" x14ac:dyDescent="0.25"/>
  <cols>
    <col min="13" max="13" width="18" bestFit="1" customWidth="1"/>
  </cols>
  <sheetData>
    <row r="1" spans="1:13" x14ac:dyDescent="0.25">
      <c r="A1" t="s">
        <v>0</v>
      </c>
    </row>
    <row r="13" spans="1:13" x14ac:dyDescent="0.25">
      <c r="L13" s="1"/>
      <c r="M13" s="1" t="s">
        <v>6</v>
      </c>
    </row>
    <row r="14" spans="1:13" x14ac:dyDescent="0.25">
      <c r="L14" s="1"/>
      <c r="M14" s="1" t="s">
        <v>11</v>
      </c>
    </row>
    <row r="15" spans="1:13" x14ac:dyDescent="0.25">
      <c r="L15" s="1" t="s">
        <v>26</v>
      </c>
      <c r="M15" s="1">
        <v>5.3</v>
      </c>
    </row>
    <row r="16" spans="1:13" x14ac:dyDescent="0.25">
      <c r="L16" s="1" t="s">
        <v>27</v>
      </c>
      <c r="M16" s="1">
        <v>5.3</v>
      </c>
    </row>
    <row r="17" spans="12:13" x14ac:dyDescent="0.25">
      <c r="L17" s="1" t="s">
        <v>28</v>
      </c>
      <c r="M17" s="1">
        <v>5.3</v>
      </c>
    </row>
    <row r="18" spans="12:13" x14ac:dyDescent="0.25">
      <c r="L18" s="1" t="s">
        <v>29</v>
      </c>
      <c r="M18" s="1">
        <v>5.3</v>
      </c>
    </row>
    <row r="19" spans="12:13" x14ac:dyDescent="0.25">
      <c r="L19" s="1" t="s">
        <v>30</v>
      </c>
      <c r="M19" s="1">
        <v>5.3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M47"/>
  <sheetViews>
    <sheetView topLeftCell="A36" zoomScale="125" workbookViewId="0">
      <selection activeCell="I51" sqref="I51"/>
    </sheetView>
  </sheetViews>
  <sheetFormatPr defaultColWidth="10.5" defaultRowHeight="15.75" x14ac:dyDescent="0.25"/>
  <cols>
    <col min="8" max="8" width="26" bestFit="1" customWidth="1"/>
  </cols>
  <sheetData>
    <row r="1" spans="1:1" x14ac:dyDescent="0.25">
      <c r="A1" t="s">
        <v>1</v>
      </c>
    </row>
    <row r="40" spans="3:13" x14ac:dyDescent="0.25">
      <c r="C40" s="1"/>
      <c r="E40" s="1" t="s">
        <v>38</v>
      </c>
      <c r="F40" s="1" t="s">
        <v>39</v>
      </c>
      <c r="G40" s="1" t="s">
        <v>40</v>
      </c>
      <c r="H40" s="1" t="s">
        <v>68</v>
      </c>
      <c r="K40" s="1" t="s">
        <v>67</v>
      </c>
      <c r="M40" s="1">
        <f>80/6</f>
        <v>13.333333333333334</v>
      </c>
    </row>
    <row r="41" spans="3:13" x14ac:dyDescent="0.25">
      <c r="C41" s="1" t="s">
        <v>31</v>
      </c>
      <c r="E41" s="1">
        <v>18</v>
      </c>
      <c r="F41" s="1">
        <v>35</v>
      </c>
      <c r="G41" s="1">
        <f>AVERAGE(E41:F41)</f>
        <v>26.5</v>
      </c>
      <c r="H41" s="1">
        <f>G41</f>
        <v>26.5</v>
      </c>
      <c r="K41" s="1">
        <f>5</f>
        <v>5</v>
      </c>
    </row>
    <row r="42" spans="3:13" x14ac:dyDescent="0.25">
      <c r="C42" s="1" t="s">
        <v>32</v>
      </c>
      <c r="E42" s="1">
        <v>18</v>
      </c>
      <c r="F42" s="1">
        <v>38</v>
      </c>
      <c r="G42" s="1">
        <f t="shared" ref="G42:G47" si="0">AVERAGE(E42:F42)</f>
        <v>28</v>
      </c>
      <c r="H42" s="1">
        <f t="shared" ref="H42:H47" si="1">G42</f>
        <v>28</v>
      </c>
      <c r="K42" s="1">
        <f>K41+M$40</f>
        <v>18.333333333333336</v>
      </c>
    </row>
    <row r="43" spans="3:13" x14ac:dyDescent="0.25">
      <c r="C43" s="1" t="s">
        <v>33</v>
      </c>
      <c r="E43" s="1">
        <v>25</v>
      </c>
      <c r="F43" s="1">
        <v>57</v>
      </c>
      <c r="G43" s="1">
        <f t="shared" si="0"/>
        <v>41</v>
      </c>
      <c r="H43" s="1">
        <f t="shared" si="1"/>
        <v>41</v>
      </c>
      <c r="K43" s="1">
        <f>K42+M$40</f>
        <v>31.666666666666671</v>
      </c>
    </row>
    <row r="44" spans="3:13" x14ac:dyDescent="0.25">
      <c r="C44" s="1" t="s">
        <v>34</v>
      </c>
      <c r="E44" s="1">
        <v>15</v>
      </c>
      <c r="F44" s="1">
        <v>41</v>
      </c>
      <c r="G44" s="1">
        <f t="shared" si="0"/>
        <v>28</v>
      </c>
      <c r="H44" s="1">
        <f t="shared" si="1"/>
        <v>28</v>
      </c>
      <c r="K44" s="1">
        <f t="shared" ref="K44:K47" si="2">K43+M$40</f>
        <v>45.000000000000007</v>
      </c>
    </row>
    <row r="45" spans="3:13" x14ac:dyDescent="0.25">
      <c r="C45" s="1" t="s">
        <v>35</v>
      </c>
      <c r="E45" s="1">
        <v>20</v>
      </c>
      <c r="F45" s="1">
        <v>38</v>
      </c>
      <c r="G45" s="1">
        <f t="shared" si="0"/>
        <v>29</v>
      </c>
      <c r="H45" s="1">
        <f t="shared" si="1"/>
        <v>29</v>
      </c>
      <c r="K45" s="1">
        <f t="shared" si="2"/>
        <v>58.333333333333343</v>
      </c>
    </row>
    <row r="46" spans="3:13" x14ac:dyDescent="0.25">
      <c r="C46" s="1" t="s">
        <v>36</v>
      </c>
      <c r="E46" s="1">
        <v>17</v>
      </c>
      <c r="F46" s="1">
        <v>38</v>
      </c>
      <c r="G46" s="1">
        <f t="shared" si="0"/>
        <v>27.5</v>
      </c>
      <c r="H46" s="1">
        <f t="shared" si="1"/>
        <v>27.5</v>
      </c>
      <c r="K46" s="1">
        <f t="shared" si="2"/>
        <v>71.666666666666671</v>
      </c>
    </row>
    <row r="47" spans="3:13" x14ac:dyDescent="0.25">
      <c r="C47" s="1" t="s">
        <v>37</v>
      </c>
      <c r="E47" s="1">
        <v>20</v>
      </c>
      <c r="F47" s="1">
        <v>52</v>
      </c>
      <c r="G47" s="1">
        <f t="shared" si="0"/>
        <v>36</v>
      </c>
      <c r="H47" s="1">
        <f t="shared" si="1"/>
        <v>36</v>
      </c>
      <c r="K47" s="1">
        <f t="shared" si="2"/>
        <v>85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93:D104"/>
  <sheetViews>
    <sheetView topLeftCell="A90" workbookViewId="0">
      <selection activeCell="M105" sqref="M105"/>
    </sheetView>
  </sheetViews>
  <sheetFormatPr defaultColWidth="10.5" defaultRowHeight="15.75" x14ac:dyDescent="0.25"/>
  <cols>
    <col min="3" max="3" width="24.5" bestFit="1" customWidth="1"/>
  </cols>
  <sheetData>
    <row r="93" spans="2:4" x14ac:dyDescent="0.25">
      <c r="C93" s="248" t="s">
        <v>44</v>
      </c>
      <c r="D93" s="248"/>
    </row>
    <row r="94" spans="2:4" x14ac:dyDescent="0.25">
      <c r="B94" s="3" t="s">
        <v>43</v>
      </c>
      <c r="C94" s="3" t="s">
        <v>42</v>
      </c>
      <c r="D94" s="3"/>
    </row>
    <row r="95" spans="2:4" x14ac:dyDescent="0.25">
      <c r="B95" s="3">
        <v>5</v>
      </c>
      <c r="C95" s="3">
        <v>12</v>
      </c>
      <c r="D95" s="3"/>
    </row>
    <row r="96" spans="2:4" x14ac:dyDescent="0.25">
      <c r="B96" s="3">
        <v>10</v>
      </c>
      <c r="C96" s="3">
        <v>17</v>
      </c>
      <c r="D96" s="3"/>
    </row>
    <row r="97" spans="2:4" x14ac:dyDescent="0.25">
      <c r="B97" s="3">
        <v>15</v>
      </c>
      <c r="C97" s="3">
        <v>24</v>
      </c>
      <c r="D97" s="3"/>
    </row>
    <row r="98" spans="2:4" x14ac:dyDescent="0.25">
      <c r="B98" s="3">
        <v>20</v>
      </c>
      <c r="C98" s="3">
        <v>27</v>
      </c>
      <c r="D98" s="3"/>
    </row>
    <row r="99" spans="2:4" x14ac:dyDescent="0.25">
      <c r="B99" s="3">
        <v>25</v>
      </c>
      <c r="C99" s="3">
        <v>32</v>
      </c>
      <c r="D99" s="3"/>
    </row>
    <row r="100" spans="2:4" x14ac:dyDescent="0.25">
      <c r="B100" s="3">
        <v>30</v>
      </c>
      <c r="C100" s="3">
        <v>35</v>
      </c>
      <c r="D100" s="3"/>
    </row>
    <row r="101" spans="2:4" x14ac:dyDescent="0.25">
      <c r="B101" s="3">
        <v>35</v>
      </c>
      <c r="C101" s="3">
        <v>37</v>
      </c>
      <c r="D101" s="3"/>
    </row>
    <row r="102" spans="2:4" x14ac:dyDescent="0.25">
      <c r="B102" s="3">
        <v>40</v>
      </c>
      <c r="C102" s="3">
        <v>37</v>
      </c>
      <c r="D102" s="3"/>
    </row>
    <row r="103" spans="2:4" x14ac:dyDescent="0.25">
      <c r="B103" s="3">
        <v>45</v>
      </c>
      <c r="C103" s="3">
        <v>37</v>
      </c>
      <c r="D103" s="3"/>
    </row>
    <row r="104" spans="2:4" x14ac:dyDescent="0.25">
      <c r="B104" s="3">
        <v>50</v>
      </c>
      <c r="C104" s="3">
        <v>37</v>
      </c>
      <c r="D104" s="3"/>
    </row>
  </sheetData>
  <mergeCells count="1">
    <mergeCell ref="C93:D93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L15:O63"/>
  <sheetViews>
    <sheetView topLeftCell="D38" zoomScale="125" workbookViewId="0">
      <selection activeCell="P80" sqref="P80"/>
    </sheetView>
  </sheetViews>
  <sheetFormatPr defaultColWidth="10.5" defaultRowHeight="15.75" x14ac:dyDescent="0.25"/>
  <cols>
    <col min="12" max="12" width="23" bestFit="1" customWidth="1"/>
    <col min="14" max="14" width="23" bestFit="1" customWidth="1"/>
  </cols>
  <sheetData>
    <row r="15" spans="12:15" x14ac:dyDescent="0.25">
      <c r="L15" s="2" t="s">
        <v>60</v>
      </c>
      <c r="M15" s="2" t="s">
        <v>63</v>
      </c>
      <c r="N15" s="2" t="s">
        <v>64</v>
      </c>
      <c r="O15" s="2" t="s">
        <v>65</v>
      </c>
    </row>
    <row r="16" spans="12:15" x14ac:dyDescent="0.25">
      <c r="L16" s="2" t="s">
        <v>61</v>
      </c>
      <c r="M16" s="2">
        <v>0.8</v>
      </c>
      <c r="N16" s="2">
        <v>0.6</v>
      </c>
      <c r="O16" s="2">
        <v>0.5</v>
      </c>
    </row>
    <row r="17" spans="12:15" x14ac:dyDescent="0.25">
      <c r="L17" s="2" t="s">
        <v>62</v>
      </c>
      <c r="M17" s="2">
        <v>1</v>
      </c>
      <c r="N17" s="2">
        <v>0.7</v>
      </c>
      <c r="O17" s="2">
        <v>0.75</v>
      </c>
    </row>
    <row r="58" spans="13:14" x14ac:dyDescent="0.25">
      <c r="M58" s="2" t="s">
        <v>66</v>
      </c>
      <c r="N58" s="2" t="s">
        <v>60</v>
      </c>
    </row>
    <row r="59" spans="13:14" x14ac:dyDescent="0.25">
      <c r="M59" s="2">
        <v>4</v>
      </c>
      <c r="N59" s="2">
        <v>1.2</v>
      </c>
    </row>
    <row r="60" spans="13:14" x14ac:dyDescent="0.25">
      <c r="M60" s="2">
        <v>5</v>
      </c>
      <c r="N60" s="2">
        <v>0.9</v>
      </c>
    </row>
    <row r="61" spans="13:14" x14ac:dyDescent="0.25">
      <c r="M61" s="2">
        <v>11</v>
      </c>
      <c r="N61" s="2">
        <v>0.6</v>
      </c>
    </row>
    <row r="62" spans="13:14" x14ac:dyDescent="0.25">
      <c r="M62" s="2">
        <v>30</v>
      </c>
      <c r="N62" s="2">
        <v>0.4</v>
      </c>
    </row>
    <row r="63" spans="13:14" x14ac:dyDescent="0.25">
      <c r="M63" s="2">
        <v>32</v>
      </c>
      <c r="N63" s="2">
        <v>0.3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"/>
  <sheetViews>
    <sheetView topLeftCell="A43" zoomScale="112" workbookViewId="0">
      <selection activeCell="F60" sqref="F60"/>
    </sheetView>
  </sheetViews>
  <sheetFormatPr defaultColWidth="10.5" defaultRowHeight="15.75" x14ac:dyDescent="0.25"/>
  <sheetData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"/>
  <sheetViews>
    <sheetView workbookViewId="0">
      <selection activeCell="K30" sqref="K30"/>
    </sheetView>
  </sheetViews>
  <sheetFormatPr defaultColWidth="10.5" defaultRowHeight="15.75" x14ac:dyDescent="0.25"/>
  <sheetData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"/>
  <sheetViews>
    <sheetView workbookViewId="0">
      <selection activeCell="T34" sqref="T34"/>
    </sheetView>
  </sheetViews>
  <sheetFormatPr defaultColWidth="10.5" defaultRowHeight="15.75" x14ac:dyDescent="0.25"/>
  <sheetData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"/>
  <sheetViews>
    <sheetView workbookViewId="0"/>
  </sheetViews>
  <sheetFormatPr defaultColWidth="10.5" defaultRowHeight="15.75" x14ac:dyDescent="0.25"/>
  <sheetData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"/>
  <sheetViews>
    <sheetView workbookViewId="0">
      <selection activeCell="T32" sqref="T32"/>
    </sheetView>
  </sheetViews>
  <sheetFormatPr defaultColWidth="10.5" defaultRowHeight="15.75" x14ac:dyDescent="0.25"/>
  <sheetData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"/>
  <sheetViews>
    <sheetView zoomScale="150" workbookViewId="0">
      <selection activeCell="H35" sqref="H35"/>
    </sheetView>
  </sheetViews>
  <sheetFormatPr defaultColWidth="10.5" defaultRowHeight="15.7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P40"/>
  <sheetViews>
    <sheetView zoomScale="80" zoomScaleNormal="80" workbookViewId="0">
      <selection activeCell="B11" sqref="B11"/>
    </sheetView>
  </sheetViews>
  <sheetFormatPr defaultColWidth="8.5" defaultRowHeight="15" x14ac:dyDescent="0.25"/>
  <cols>
    <col min="1" max="1" width="11.375" style="6" bestFit="1" customWidth="1"/>
    <col min="2" max="2" width="15" style="6" bestFit="1" customWidth="1"/>
    <col min="3" max="3" width="9.375" style="6" bestFit="1" customWidth="1"/>
    <col min="4" max="4" width="8.875" style="6" customWidth="1"/>
    <col min="5" max="5" width="24.125" style="6" bestFit="1" customWidth="1"/>
    <col min="6" max="6" width="11.5" style="6" customWidth="1"/>
    <col min="7" max="7" width="10.5" style="6" customWidth="1"/>
    <col min="8" max="16384" width="8.5" style="6"/>
  </cols>
  <sheetData>
    <row r="1" spans="1:68" s="231" customFormat="1" ht="15.75" x14ac:dyDescent="0.25">
      <c r="A1" s="230" t="s">
        <v>537</v>
      </c>
      <c r="B1" s="230"/>
      <c r="C1" s="230"/>
      <c r="D1" s="230"/>
      <c r="F1" s="230"/>
    </row>
    <row r="2" spans="1:68" s="232" customFormat="1" x14ac:dyDescent="0.25">
      <c r="A2" s="232" t="s">
        <v>497</v>
      </c>
      <c r="B2" s="232" t="s">
        <v>498</v>
      </c>
      <c r="C2" s="232" t="s">
        <v>499</v>
      </c>
      <c r="D2" s="232" t="s">
        <v>500</v>
      </c>
      <c r="E2" s="232" t="s">
        <v>501</v>
      </c>
      <c r="F2" s="232" t="s">
        <v>502</v>
      </c>
      <c r="G2" s="232" t="s">
        <v>503</v>
      </c>
      <c r="H2" s="232">
        <v>1960</v>
      </c>
      <c r="I2" s="232">
        <v>1961</v>
      </c>
      <c r="J2" s="232">
        <v>1962</v>
      </c>
      <c r="K2" s="232">
        <v>1963</v>
      </c>
      <c r="L2" s="232">
        <v>1964</v>
      </c>
      <c r="M2" s="232">
        <v>1965</v>
      </c>
      <c r="N2" s="232">
        <v>1966</v>
      </c>
      <c r="O2" s="232">
        <v>1967</v>
      </c>
      <c r="P2" s="232">
        <v>1968</v>
      </c>
      <c r="Q2" s="232">
        <v>1969</v>
      </c>
      <c r="R2" s="232">
        <v>1970</v>
      </c>
      <c r="S2" s="232">
        <v>1971</v>
      </c>
      <c r="T2" s="232">
        <v>1972</v>
      </c>
      <c r="U2" s="232">
        <v>1973</v>
      </c>
      <c r="V2" s="232">
        <v>1974</v>
      </c>
      <c r="W2" s="232">
        <v>1975</v>
      </c>
      <c r="X2" s="232">
        <v>1976</v>
      </c>
      <c r="Y2" s="232">
        <v>1977</v>
      </c>
      <c r="Z2" s="232">
        <v>1978</v>
      </c>
      <c r="AA2" s="232">
        <v>1979</v>
      </c>
      <c r="AB2" s="232">
        <v>1980</v>
      </c>
      <c r="AC2" s="232">
        <v>1981</v>
      </c>
      <c r="AD2" s="232">
        <v>1982</v>
      </c>
      <c r="AE2" s="232">
        <v>1983</v>
      </c>
      <c r="AF2" s="232">
        <v>1984</v>
      </c>
      <c r="AG2" s="232">
        <v>1985</v>
      </c>
      <c r="AH2" s="232">
        <v>1986</v>
      </c>
      <c r="AI2" s="232">
        <v>1987</v>
      </c>
      <c r="AJ2" s="232">
        <v>1988</v>
      </c>
      <c r="AK2" s="232">
        <v>1989</v>
      </c>
      <c r="AL2" s="232">
        <v>1990</v>
      </c>
      <c r="AM2" s="232">
        <v>1991</v>
      </c>
      <c r="AN2" s="232">
        <v>1992</v>
      </c>
      <c r="AO2" s="232">
        <v>1993</v>
      </c>
      <c r="AP2" s="232">
        <v>1994</v>
      </c>
      <c r="AQ2" s="232">
        <v>1995</v>
      </c>
      <c r="AR2" s="232">
        <v>1996</v>
      </c>
      <c r="AS2" s="232">
        <v>1997</v>
      </c>
      <c r="AT2" s="232">
        <v>1998</v>
      </c>
      <c r="AU2" s="232">
        <v>1999</v>
      </c>
      <c r="AV2" s="232">
        <v>2000</v>
      </c>
      <c r="AW2" s="232">
        <v>2001</v>
      </c>
      <c r="AX2" s="232">
        <v>2002</v>
      </c>
      <c r="AY2" s="232">
        <v>2003</v>
      </c>
      <c r="AZ2" s="232">
        <v>2004</v>
      </c>
      <c r="BA2" s="232">
        <v>2005</v>
      </c>
      <c r="BB2" s="232">
        <v>2006</v>
      </c>
      <c r="BC2" s="232">
        <v>2007</v>
      </c>
      <c r="BD2" s="232">
        <v>2008</v>
      </c>
      <c r="BE2" s="232">
        <v>2009</v>
      </c>
      <c r="BF2" s="232">
        <v>2010</v>
      </c>
      <c r="BG2" s="232">
        <v>2011</v>
      </c>
      <c r="BH2" s="232">
        <v>2012</v>
      </c>
      <c r="BI2" s="232">
        <v>2013</v>
      </c>
      <c r="BJ2" s="232">
        <v>2014</v>
      </c>
      <c r="BK2" s="232">
        <v>2015</v>
      </c>
      <c r="BL2" s="232">
        <v>2016</v>
      </c>
      <c r="BM2" s="232">
        <v>2017</v>
      </c>
      <c r="BN2" s="232">
        <v>2018</v>
      </c>
      <c r="BO2" s="232">
        <v>2019</v>
      </c>
      <c r="BP2" s="232">
        <v>2020</v>
      </c>
    </row>
    <row r="3" spans="1:68" s="233" customFormat="1" x14ac:dyDescent="0.25">
      <c r="A3" s="233" t="s">
        <v>536</v>
      </c>
      <c r="B3" s="233" t="s">
        <v>533</v>
      </c>
      <c r="C3" s="233" t="s">
        <v>534</v>
      </c>
      <c r="D3" s="233" t="s">
        <v>535</v>
      </c>
      <c r="E3" s="233" t="s">
        <v>530</v>
      </c>
      <c r="F3" s="233" t="s">
        <v>538</v>
      </c>
      <c r="G3" s="233" t="s">
        <v>531</v>
      </c>
      <c r="H3" s="234">
        <f>'1_HDV calcs'!E43</f>
        <v>0.40847889610190591</v>
      </c>
      <c r="I3" s="234">
        <f>'1_HDV calcs'!F43</f>
        <v>0.40328377269335225</v>
      </c>
      <c r="J3" s="234">
        <f>'1_HDV calcs'!G43</f>
        <v>0.3980164465105962</v>
      </c>
      <c r="K3" s="234">
        <f>'1_HDV calcs'!H43</f>
        <v>0.39262471679183719</v>
      </c>
      <c r="L3" s="234">
        <f>'1_HDV calcs'!I43</f>
        <v>0.38760258068221881</v>
      </c>
      <c r="M3" s="234">
        <f>'1_HDV calcs'!J43</f>
        <v>0.38173554814135985</v>
      </c>
      <c r="N3" s="234">
        <f>'1_HDV calcs'!K43</f>
        <v>0.37548899209667363</v>
      </c>
      <c r="O3" s="234">
        <f>'1_HDV calcs'!L43</f>
        <v>0.36867467349642047</v>
      </c>
      <c r="P3" s="234">
        <f>'1_HDV calcs'!M43</f>
        <v>0.36193549665508357</v>
      </c>
      <c r="Q3" s="234">
        <f>'1_HDV calcs'!N43</f>
        <v>0.35474344509747707</v>
      </c>
      <c r="R3" s="234">
        <f>'1_HDV calcs'!O43</f>
        <v>0.34821292435925805</v>
      </c>
      <c r="S3" s="234">
        <f>'1_HDV calcs'!P43</f>
        <v>0.3474584861085151</v>
      </c>
      <c r="T3" s="234">
        <f>'1_HDV calcs'!Q43</f>
        <v>0.34855863919161711</v>
      </c>
      <c r="U3" s="234">
        <f>'1_HDV calcs'!R43</f>
        <v>0.34431077833841717</v>
      </c>
      <c r="V3" s="234">
        <f>'1_HDV calcs'!S43</f>
        <v>0.34337776633590539</v>
      </c>
      <c r="W3" s="234">
        <f>'1_HDV calcs'!T43</f>
        <v>0.34246965147055791</v>
      </c>
      <c r="X3" s="234">
        <f>'1_HDV calcs'!U43</f>
        <v>0.3437177819105211</v>
      </c>
      <c r="Y3" s="234">
        <f>'1_HDV calcs'!V43</f>
        <v>0.33794011347286768</v>
      </c>
      <c r="Z3" s="234">
        <f>'1_HDV calcs'!W43</f>
        <v>0.33909376668055474</v>
      </c>
      <c r="AA3" s="234">
        <f>'1_HDV calcs'!X43</f>
        <v>0.33509502623138315</v>
      </c>
      <c r="AB3" s="234">
        <f>'1_HDV calcs'!Y43</f>
        <v>0.34193196201132975</v>
      </c>
      <c r="AC3" s="234">
        <f>'1_HDV calcs'!Z43</f>
        <v>0.3456378159568152</v>
      </c>
      <c r="AD3" s="234">
        <f>'1_HDV calcs'!AA43</f>
        <v>0.33764877793738435</v>
      </c>
      <c r="AE3" s="234">
        <f>'1_HDV calcs'!AB43</f>
        <v>0.32943862877797686</v>
      </c>
      <c r="AF3" s="234">
        <f>'1_HDV calcs'!AC43</f>
        <v>0.3217459637926689</v>
      </c>
      <c r="AG3" s="234">
        <f>'1_HDV calcs'!AD43</f>
        <v>0.31272521955649496</v>
      </c>
      <c r="AH3" s="234">
        <f>'1_HDV calcs'!AE43</f>
        <v>0.29933764538802471</v>
      </c>
      <c r="AI3" s="234">
        <f>'1_HDV calcs'!AF43</f>
        <v>0.30587617418968793</v>
      </c>
      <c r="AJ3" s="234">
        <f>'1_HDV calcs'!AG43</f>
        <v>0.30262283165025372</v>
      </c>
      <c r="AK3" s="234">
        <f>'1_HDV calcs'!AH43</f>
        <v>0.30992331558731889</v>
      </c>
      <c r="AL3" s="234">
        <f>'1_HDV calcs'!AI43</f>
        <v>0.30857478815076761</v>
      </c>
      <c r="AM3" s="234">
        <f>'1_HDV calcs'!AJ43</f>
        <v>0.31243728350772565</v>
      </c>
      <c r="AN3" s="234">
        <f>'1_HDV calcs'!AK43</f>
        <v>0.30887757901089768</v>
      </c>
      <c r="AO3" s="234">
        <f>'1_HDV calcs'!AL43</f>
        <v>0.3098511756906307</v>
      </c>
      <c r="AP3" s="234">
        <f>'1_HDV calcs'!AM43</f>
        <v>0.30804929852529261</v>
      </c>
      <c r="AQ3" s="234">
        <f>'1_HDV calcs'!AN43</f>
        <v>0.31394635340968907</v>
      </c>
      <c r="AR3" s="234">
        <f>'1_HDV calcs'!AO43</f>
        <v>0.3149028149854482</v>
      </c>
      <c r="AS3" s="234">
        <f>'1_HDV calcs'!AP43</f>
        <v>0.31864719750020742</v>
      </c>
      <c r="AT3" s="234">
        <f>'1_HDV calcs'!AQ43</f>
        <v>0.32565510549951848</v>
      </c>
      <c r="AU3" s="234">
        <f>'1_HDV calcs'!AR43</f>
        <v>0.33123769052821955</v>
      </c>
      <c r="AV3" s="234">
        <f>'1_HDV calcs'!AS43</f>
        <v>0.33445303251308206</v>
      </c>
      <c r="AW3" s="234">
        <f>'1_HDV calcs'!AT43</f>
        <v>0.33458266422462046</v>
      </c>
      <c r="AX3" s="234">
        <f>'1_HDV calcs'!AU43</f>
        <v>0.3330543485233578</v>
      </c>
      <c r="AY3" s="234">
        <f>'1_HDV calcs'!AV43</f>
        <v>0.33239397727797582</v>
      </c>
      <c r="AZ3" s="234">
        <f>'1_HDV calcs'!AW43</f>
        <v>0.33438792382800453</v>
      </c>
      <c r="BA3" s="234">
        <f>'1_HDV calcs'!AX43</f>
        <v>0.33150413747672114</v>
      </c>
      <c r="BB3" s="234">
        <f>'1_HDV calcs'!AY43</f>
        <v>0.3316496489590835</v>
      </c>
      <c r="BC3" s="234">
        <f>'1_HDV calcs'!AZ43</f>
        <v>0.33220254056592907</v>
      </c>
      <c r="BD3" s="234">
        <f>'1_HDV calcs'!BA43</f>
        <v>0.33980075148255395</v>
      </c>
      <c r="BE3" s="234">
        <f>'1_HDV calcs'!BB43</f>
        <v>0.33892044450566411</v>
      </c>
      <c r="BF3" s="234">
        <f>'1_HDV calcs'!BC43</f>
        <v>0.3362443812563049</v>
      </c>
      <c r="BG3" s="234">
        <f>'1_HDV calcs'!BD43</f>
        <v>0.33710835035903358</v>
      </c>
      <c r="BH3" s="234">
        <f>'1_HDV calcs'!BE43</f>
        <v>0.33310714274844133</v>
      </c>
      <c r="BI3" s="234">
        <f>'1_HDV calcs'!BF43</f>
        <v>0.33481175675792424</v>
      </c>
      <c r="BJ3" s="234">
        <f>'1_HDV calcs'!BG43</f>
        <v>0.3347908863263479</v>
      </c>
      <c r="BK3" s="234">
        <f>'1_HDV calcs'!BH43</f>
        <v>0.33293278873356619</v>
      </c>
      <c r="BL3" s="234">
        <f>'1_HDV calcs'!BI43</f>
        <v>0.3296142687184262</v>
      </c>
      <c r="BM3" s="234">
        <f>'1_HDV calcs'!BJ43</f>
        <v>0.33077807570325118</v>
      </c>
      <c r="BN3" s="234">
        <f>'1_HDV calcs'!BK43</f>
        <v>0.33242816814361281</v>
      </c>
      <c r="BO3" s="234">
        <f>'1_HDV calcs'!BL43</f>
        <v>0.3319542598848727</v>
      </c>
      <c r="BP3" s="234">
        <f>'1_HDV calcs'!BM43</f>
        <v>0.33148129071111027</v>
      </c>
    </row>
    <row r="4" spans="1:68" s="233" customFormat="1" x14ac:dyDescent="0.25">
      <c r="A4" s="233" t="str">
        <f>'1_HDV calcs'!A44</f>
        <v>USA</v>
      </c>
      <c r="B4" s="233" t="s">
        <v>533</v>
      </c>
      <c r="C4" s="233" t="s">
        <v>534</v>
      </c>
      <c r="D4" s="233" t="s">
        <v>535</v>
      </c>
      <c r="E4" s="233" t="s">
        <v>530</v>
      </c>
      <c r="F4" s="233" t="s">
        <v>538</v>
      </c>
      <c r="G4" s="233" t="s">
        <v>531</v>
      </c>
      <c r="H4" s="234">
        <f>'1_HDV calcs'!E44</f>
        <v>0.24923104497901463</v>
      </c>
      <c r="I4" s="234">
        <f>'1_HDV calcs'!F44</f>
        <v>0.24923104497901463</v>
      </c>
      <c r="J4" s="234">
        <f>'1_HDV calcs'!G44</f>
        <v>0.24923104497901463</v>
      </c>
      <c r="K4" s="234">
        <f>'1_HDV calcs'!H44</f>
        <v>0.24923104497901463</v>
      </c>
      <c r="L4" s="234">
        <f>'1_HDV calcs'!I44</f>
        <v>0.24923104497901463</v>
      </c>
      <c r="M4" s="234">
        <f>'1_HDV calcs'!J44</f>
        <v>0.24923104497901463</v>
      </c>
      <c r="N4" s="234">
        <f>'1_HDV calcs'!K44</f>
        <v>0.24923104497901463</v>
      </c>
      <c r="O4" s="234">
        <f>'1_HDV calcs'!L44</f>
        <v>0.24923104497901463</v>
      </c>
      <c r="P4" s="234">
        <f>'1_HDV calcs'!M44</f>
        <v>0.24631653613677873</v>
      </c>
      <c r="Q4" s="234">
        <f>'1_HDV calcs'!N44</f>
        <v>0.24631653613677873</v>
      </c>
      <c r="R4" s="234">
        <f>'1_HDV calcs'!O44</f>
        <v>0.24631653613677873</v>
      </c>
      <c r="S4" s="234">
        <f>'1_HDV calcs'!P44</f>
        <v>0.24923104497901463</v>
      </c>
      <c r="T4" s="234">
        <f>'1_HDV calcs'!Q44</f>
        <v>0.24923104497901463</v>
      </c>
      <c r="U4" s="234">
        <f>'1_HDV calcs'!R44</f>
        <v>0.24631653613677873</v>
      </c>
      <c r="V4" s="234">
        <f>'1_HDV calcs'!S44</f>
        <v>0.24631653613677873</v>
      </c>
      <c r="W4" s="234">
        <f>'1_HDV calcs'!T44</f>
        <v>0.24923104497901463</v>
      </c>
      <c r="X4" s="234">
        <f>'1_HDV calcs'!U44</f>
        <v>0.24923104497901463</v>
      </c>
      <c r="Y4" s="234">
        <f>'1_HDV calcs'!V44</f>
        <v>0.24923104497901463</v>
      </c>
      <c r="Z4" s="234">
        <f>'1_HDV calcs'!W44</f>
        <v>0.24631653613677873</v>
      </c>
      <c r="AA4" s="234">
        <f>'1_HDV calcs'!X44</f>
        <v>0.24631653613677873</v>
      </c>
      <c r="AB4" s="234">
        <f>'1_HDV calcs'!Y44</f>
        <v>0.24335971815471297</v>
      </c>
      <c r="AC4" s="234">
        <f>'1_HDV calcs'!Z44</f>
        <v>0.2403599768424306</v>
      </c>
      <c r="AD4" s="234">
        <f>'1_HDV calcs'!AA44</f>
        <v>0.24631653613677873</v>
      </c>
      <c r="AE4" s="234">
        <f>'1_HDV calcs'!AB44</f>
        <v>0.24923104497901463</v>
      </c>
      <c r="AF4" s="234">
        <f>'1_HDV calcs'!AC44</f>
        <v>0.25210385008335079</v>
      </c>
      <c r="AG4" s="234">
        <f>'1_HDV calcs'!AD44</f>
        <v>0.25493554818901454</v>
      </c>
      <c r="AH4" s="234">
        <f>'1_HDV calcs'!AE44</f>
        <v>0.25493554818901454</v>
      </c>
      <c r="AI4" s="234">
        <f>'1_HDV calcs'!AF44</f>
        <v>0.25772672749648551</v>
      </c>
      <c r="AJ4" s="234">
        <f>'1_HDV calcs'!AG44</f>
        <v>0.26047796778967608</v>
      </c>
      <c r="AK4" s="234">
        <f>'1_HDV calcs'!AH44</f>
        <v>0.26318984055636491</v>
      </c>
      <c r="AL4" s="234">
        <f>'1_HDV calcs'!AI44</f>
        <v>0.26047796778967608</v>
      </c>
      <c r="AM4" s="234">
        <f>'1_HDV calcs'!AJ44</f>
        <v>0.26047796778967608</v>
      </c>
      <c r="AN4" s="234">
        <f>'1_HDV calcs'!AK44</f>
        <v>0.26047796778967608</v>
      </c>
      <c r="AO4" s="234">
        <f>'1_HDV calcs'!AL44</f>
        <v>0.26318984055636491</v>
      </c>
      <c r="AP4" s="234">
        <f>'1_HDV calcs'!AM44</f>
        <v>0.26318984055636491</v>
      </c>
      <c r="AQ4" s="234">
        <f>'1_HDV calcs'!AN44</f>
        <v>0.26318984055636491</v>
      </c>
      <c r="AR4" s="234">
        <f>'1_HDV calcs'!AO44</f>
        <v>0.26586290910690563</v>
      </c>
      <c r="AS4" s="234">
        <f>'1_HDV calcs'!AP44</f>
        <v>0.2710948466142255</v>
      </c>
      <c r="AT4" s="234">
        <f>'1_HDV calcs'!AQ44</f>
        <v>0.26318984055636491</v>
      </c>
      <c r="AU4" s="234">
        <f>'1_HDV calcs'!AR44</f>
        <v>0.26047796778967608</v>
      </c>
      <c r="AV4" s="234">
        <f>'1_HDV calcs'!AS44</f>
        <v>0.25493554818901454</v>
      </c>
      <c r="AW4" s="234">
        <f>'1_HDV calcs'!AT44</f>
        <v>0.25772672749648551</v>
      </c>
      <c r="AX4" s="234">
        <f>'1_HDV calcs'!AU44</f>
        <v>0.25493554818901454</v>
      </c>
      <c r="AY4" s="234">
        <f>'1_HDV calcs'!AV44</f>
        <v>0.27866534666362858</v>
      </c>
      <c r="AZ4" s="234">
        <f>'1_HDV calcs'!AW44</f>
        <v>0.27866534666362858</v>
      </c>
      <c r="BA4" s="234">
        <f>'1_HDV calcs'!AX44</f>
        <v>0.26047796778967608</v>
      </c>
      <c r="BB4" s="234">
        <f>'1_HDV calcs'!AY44</f>
        <v>0.25772672749648551</v>
      </c>
      <c r="BC4" s="234">
        <f>'1_HDV calcs'!AZ44</f>
        <v>0.2710948466142255</v>
      </c>
      <c r="BD4" s="234">
        <f>'1_HDV calcs'!BA44</f>
        <v>0.27365480234933887</v>
      </c>
      <c r="BE4" s="234">
        <f>'1_HDV calcs'!BB44</f>
        <v>0.27365480234933887</v>
      </c>
      <c r="BF4" s="234">
        <f>'1_HDV calcs'!BC44</f>
        <v>0.2710948466142255</v>
      </c>
      <c r="BG4" s="234">
        <f>'1_HDV calcs'!BD44</f>
        <v>0.26849772869123822</v>
      </c>
      <c r="BH4" s="234">
        <f>'1_HDV calcs'!BE44</f>
        <v>0.2710948466142255</v>
      </c>
      <c r="BI4" s="234">
        <f>'1_HDV calcs'!BF44</f>
        <v>0.2710948466142255</v>
      </c>
      <c r="BJ4" s="234">
        <f>'1_HDV calcs'!BG44</f>
        <v>0.26849772869123822</v>
      </c>
      <c r="BK4" s="234">
        <f>'1_HDV calcs'!BH44</f>
        <v>0.2710948466142255</v>
      </c>
      <c r="BL4" s="234">
        <f>'1_HDV calcs'!BI44</f>
        <v>0.2710948466142255</v>
      </c>
      <c r="BM4" s="234">
        <f>'1_HDV calcs'!BJ44</f>
        <v>0.27365480234933887</v>
      </c>
      <c r="BN4" s="234">
        <f>'1_HDV calcs'!BK44</f>
        <v>0.27617812765071842</v>
      </c>
      <c r="BO4" s="234">
        <f>'1_HDV calcs'!BL44</f>
        <v>0.2772149115727004</v>
      </c>
      <c r="BP4" s="234">
        <f>'1_HDV calcs'!BM44</f>
        <v>0.27825851754970865</v>
      </c>
    </row>
    <row r="5" spans="1:68" s="233" customFormat="1" x14ac:dyDescent="0.25">
      <c r="A5" s="233" t="s">
        <v>526</v>
      </c>
      <c r="B5" s="233" t="s">
        <v>533</v>
      </c>
      <c r="C5" s="233" t="s">
        <v>534</v>
      </c>
      <c r="D5" s="233" t="s">
        <v>535</v>
      </c>
      <c r="E5" s="233" t="s">
        <v>530</v>
      </c>
      <c r="F5" s="233" t="s">
        <v>538</v>
      </c>
      <c r="G5" s="233" t="s">
        <v>531</v>
      </c>
      <c r="H5" s="234">
        <f>'1_HDV calcs'!E40</f>
        <v>0.24543710366392282</v>
      </c>
      <c r="I5" s="234">
        <f>'1_HDV calcs'!F40</f>
        <v>0.24588792616053645</v>
      </c>
      <c r="J5" s="234">
        <f>'1_HDV calcs'!G40</f>
        <v>0.24634027708480746</v>
      </c>
      <c r="K5" s="234">
        <f>'1_HDV calcs'!H40</f>
        <v>0.24679416310367844</v>
      </c>
      <c r="L5" s="234">
        <f>'1_HDV calcs'!I40</f>
        <v>0.24724959090916127</v>
      </c>
      <c r="M5" s="234">
        <f>'1_HDV calcs'!J40</f>
        <v>0.24770656721820902</v>
      </c>
      <c r="N5" s="234">
        <f>'1_HDV calcs'!K40</f>
        <v>0.24816509877258114</v>
      </c>
      <c r="O5" s="234">
        <f>'1_HDV calcs'!L40</f>
        <v>0.24862519233870026</v>
      </c>
      <c r="P5" s="234">
        <f>'1_HDV calcs'!M40</f>
        <v>0.24908685470750211</v>
      </c>
      <c r="Q5" s="234">
        <f>'1_HDV calcs'!N40</f>
        <v>0.24955009269427655</v>
      </c>
      <c r="R5" s="234">
        <f>'1_HDV calcs'!O40</f>
        <v>0.25001491313850133</v>
      </c>
      <c r="S5" s="234">
        <f>'1_HDV calcs'!P40</f>
        <v>0.25048132290366643</v>
      </c>
      <c r="T5" s="234">
        <f>'1_HDV calcs'!Q40</f>
        <v>0.25094932887709087</v>
      </c>
      <c r="U5" s="234">
        <f>'1_HDV calcs'!R40</f>
        <v>0.25141893796972942</v>
      </c>
      <c r="V5" s="234">
        <f>'1_HDV calcs'!S40</f>
        <v>0.25189015711597146</v>
      </c>
      <c r="W5" s="234">
        <f>'1_HDV calcs'!T40</f>
        <v>0.25236299327342893</v>
      </c>
      <c r="X5" s="234">
        <f>'1_HDV calcs'!U40</f>
        <v>0.25283745342271619</v>
      </c>
      <c r="Y5" s="234">
        <f>'1_HDV calcs'!V40</f>
        <v>0.25331354456721916</v>
      </c>
      <c r="Z5" s="234">
        <f>'1_HDV calcs'!W40</f>
        <v>0.25379127373285387</v>
      </c>
      <c r="AA5" s="234">
        <f>'1_HDV calcs'!X40</f>
        <v>0.25427064796781595</v>
      </c>
      <c r="AB5" s="234">
        <f>'1_HDV calcs'!Y40</f>
        <v>0.25475167434231788</v>
      </c>
      <c r="AC5" s="234">
        <f>'1_HDV calcs'!Z40</f>
        <v>0.25523435994831628</v>
      </c>
      <c r="AD5" s="234">
        <f>'1_HDV calcs'!AA40</f>
        <v>0.25571871189922718</v>
      </c>
      <c r="AE5" s="234">
        <f>'1_HDV calcs'!AB40</f>
        <v>0.25620473732963062</v>
      </c>
      <c r="AF5" s="234">
        <f>'1_HDV calcs'!AC40</f>
        <v>0.25669244339496194</v>
      </c>
      <c r="AG5" s="234">
        <f>'1_HDV calcs'!AD40</f>
        <v>0.25718183727119226</v>
      </c>
      <c r="AH5" s="234">
        <f>'1_HDV calcs'!AE40</f>
        <v>0.2576729261544955</v>
      </c>
      <c r="AI5" s="234">
        <f>'1_HDV calcs'!AF40</f>
        <v>0.25816571726090271</v>
      </c>
      <c r="AJ5" s="234">
        <f>'1_HDV calcs'!AG40</f>
        <v>0.25866021782594339</v>
      </c>
      <c r="AK5" s="234">
        <f>'1_HDV calcs'!AH40</f>
        <v>0.25915643510427255</v>
      </c>
      <c r="AL5" s="234">
        <f>'1_HDV calcs'!AI40</f>
        <v>0.25965437636928501</v>
      </c>
      <c r="AM5" s="234">
        <f>'1_HDV calcs'!AJ40</f>
        <v>0.26015404891271393</v>
      </c>
      <c r="AN5" s="234">
        <f>'1_HDV calcs'!AK40</f>
        <v>0.26065546004421597</v>
      </c>
      <c r="AO5" s="234">
        <f>'1_HDV calcs'!AL40</f>
        <v>0.26115861709094002</v>
      </c>
      <c r="AP5" s="234">
        <f>'1_HDV calcs'!AM40</f>
        <v>0.26166352739708182</v>
      </c>
      <c r="AQ5" s="234">
        <f>'1_HDV calcs'!AN40</f>
        <v>0.26217019832342148</v>
      </c>
      <c r="AR5" s="234">
        <f>'1_HDV calcs'!AO40</f>
        <v>0.26267863724684543</v>
      </c>
      <c r="AS5" s="234">
        <f>'1_HDV calcs'!AP40</f>
        <v>0.26318885155985117</v>
      </c>
      <c r="AT5" s="234">
        <f>'1_HDV calcs'!AQ40</f>
        <v>0.26370084867003518</v>
      </c>
      <c r="AU5" s="234">
        <f>'1_HDV calcs'!AR40</f>
        <v>0.26421463599956302</v>
      </c>
      <c r="AV5" s="234">
        <f>'1_HDV calcs'!AS40</f>
        <v>0.26473022098462096</v>
      </c>
      <c r="AW5" s="234">
        <f>'1_HDV calcs'!AT40</f>
        <v>0.26524761107484968</v>
      </c>
      <c r="AX5" s="234">
        <f>'1_HDV calcs'!AU40</f>
        <v>0.26576681373275834</v>
      </c>
      <c r="AY5" s="234">
        <f>'1_HDV calcs'!AV40</f>
        <v>0.26628783643311937</v>
      </c>
      <c r="AZ5" s="234">
        <f>'1_HDV calcs'!AW40</f>
        <v>0.26681068666234309</v>
      </c>
      <c r="BA5" s="234">
        <f>'1_HDV calcs'!AX40</f>
        <v>0.26733537191783152</v>
      </c>
      <c r="BB5" s="234">
        <f>'1_HDV calcs'!AY40</f>
        <v>0.26786189970731117</v>
      </c>
      <c r="BC5" s="234">
        <f>'1_HDV calcs'!AZ40</f>
        <v>0.26839027754814437</v>
      </c>
      <c r="BD5" s="234">
        <f>'1_HDV calcs'!BA40</f>
        <v>0.26892051296661768</v>
      </c>
      <c r="BE5" s="234">
        <f>'1_HDV calcs'!BB40</f>
        <v>0.26945261349720817</v>
      </c>
      <c r="BF5" s="234">
        <f>'1_HDV calcs'!BC40</f>
        <v>0.26998658668182551</v>
      </c>
      <c r="BG5" s="234">
        <f>'1_HDV calcs'!BD40</f>
        <v>0.27052244006903059</v>
      </c>
      <c r="BH5" s="234">
        <f>'1_HDV calcs'!BE40</f>
        <v>0.27106018121322889</v>
      </c>
      <c r="BI5" s="234">
        <f>'1_HDV calcs'!BF40</f>
        <v>0.27159981767383906</v>
      </c>
      <c r="BJ5" s="234">
        <f>'1_HDV calcs'!BG40</f>
        <v>0.27214135701443504</v>
      </c>
      <c r="BK5" s="234">
        <f>'1_HDV calcs'!BH40</f>
        <v>0.27268480680186147</v>
      </c>
      <c r="BL5" s="234">
        <f>'1_HDV calcs'!BI40</f>
        <v>0.27323017460532212</v>
      </c>
      <c r="BM5" s="234">
        <f>'1_HDV calcs'!BJ40</f>
        <v>0.27377746799543984</v>
      </c>
      <c r="BN5" s="234">
        <f>'1_HDV calcs'!BK40</f>
        <v>0.27432669454328762</v>
      </c>
      <c r="BO5" s="234">
        <f>'1_HDV calcs'!BL40</f>
        <v>0.27487786181939067</v>
      </c>
      <c r="BP5" s="234">
        <f>'1_HDV calcs'!BM40</f>
        <v>0.27543097739269712</v>
      </c>
    </row>
    <row r="6" spans="1:68" s="233" customFormat="1" x14ac:dyDescent="0.25">
      <c r="A6" s="233" t="s">
        <v>527</v>
      </c>
      <c r="B6" s="233" t="s">
        <v>533</v>
      </c>
      <c r="C6" s="233" t="s">
        <v>534</v>
      </c>
      <c r="D6" s="233" t="s">
        <v>535</v>
      </c>
      <c r="E6" s="233" t="s">
        <v>530</v>
      </c>
      <c r="F6" s="233" t="s">
        <v>538</v>
      </c>
      <c r="G6" s="233" t="s">
        <v>531</v>
      </c>
      <c r="H6" s="234">
        <f>'1_HDV calcs'!E40</f>
        <v>0.24543710366392282</v>
      </c>
      <c r="I6" s="234">
        <f>'1_HDV calcs'!F40</f>
        <v>0.24588792616053645</v>
      </c>
      <c r="J6" s="234">
        <f>'1_HDV calcs'!G40</f>
        <v>0.24634027708480746</v>
      </c>
      <c r="K6" s="234">
        <f>'1_HDV calcs'!H40</f>
        <v>0.24679416310367844</v>
      </c>
      <c r="L6" s="234">
        <f>'1_HDV calcs'!I40</f>
        <v>0.24724959090916127</v>
      </c>
      <c r="M6" s="234">
        <f>'1_HDV calcs'!J40</f>
        <v>0.24770656721820902</v>
      </c>
      <c r="N6" s="234">
        <f>'1_HDV calcs'!K40</f>
        <v>0.24816509877258114</v>
      </c>
      <c r="O6" s="234">
        <f>'1_HDV calcs'!L40</f>
        <v>0.24862519233870026</v>
      </c>
      <c r="P6" s="234">
        <f>'1_HDV calcs'!M40</f>
        <v>0.24908685470750211</v>
      </c>
      <c r="Q6" s="234">
        <f>'1_HDV calcs'!N40</f>
        <v>0.24955009269427655</v>
      </c>
      <c r="R6" s="234">
        <f>'1_HDV calcs'!O40</f>
        <v>0.25001491313850133</v>
      </c>
      <c r="S6" s="234">
        <f>'1_HDV calcs'!P40</f>
        <v>0.25048132290366643</v>
      </c>
      <c r="T6" s="234">
        <f>'1_HDV calcs'!Q40</f>
        <v>0.25094932887709087</v>
      </c>
      <c r="U6" s="234">
        <f>'1_HDV calcs'!R40</f>
        <v>0.25141893796972942</v>
      </c>
      <c r="V6" s="234">
        <f>'1_HDV calcs'!S40</f>
        <v>0.25189015711597146</v>
      </c>
      <c r="W6" s="234">
        <f>'1_HDV calcs'!T40</f>
        <v>0.25236299327342893</v>
      </c>
      <c r="X6" s="234">
        <f>'1_HDV calcs'!U40</f>
        <v>0.25283745342271619</v>
      </c>
      <c r="Y6" s="234">
        <f>'1_HDV calcs'!V40</f>
        <v>0.25331354456721916</v>
      </c>
      <c r="Z6" s="234">
        <f>'1_HDV calcs'!W40</f>
        <v>0.25379127373285387</v>
      </c>
      <c r="AA6" s="234">
        <f>'1_HDV calcs'!X40</f>
        <v>0.25427064796781595</v>
      </c>
      <c r="AB6" s="234">
        <f>'1_HDV calcs'!Y40</f>
        <v>0.25475167434231788</v>
      </c>
      <c r="AC6" s="234">
        <f>'1_HDV calcs'!Z40</f>
        <v>0.25523435994831628</v>
      </c>
      <c r="AD6" s="234">
        <f>'1_HDV calcs'!AA40</f>
        <v>0.25571871189922718</v>
      </c>
      <c r="AE6" s="234">
        <f>'1_HDV calcs'!AB40</f>
        <v>0.25620473732963062</v>
      </c>
      <c r="AF6" s="234">
        <f>'1_HDV calcs'!AC40</f>
        <v>0.25669244339496194</v>
      </c>
      <c r="AG6" s="234">
        <f>'1_HDV calcs'!AD40</f>
        <v>0.25718183727119226</v>
      </c>
      <c r="AH6" s="234">
        <f>'1_HDV calcs'!AE40</f>
        <v>0.2576729261544955</v>
      </c>
      <c r="AI6" s="234">
        <f>'1_HDV calcs'!AF40</f>
        <v>0.25816571726090271</v>
      </c>
      <c r="AJ6" s="234">
        <f>'1_HDV calcs'!AG40</f>
        <v>0.25866021782594339</v>
      </c>
      <c r="AK6" s="234">
        <f>'1_HDV calcs'!AH40</f>
        <v>0.25915643510427255</v>
      </c>
      <c r="AL6" s="234">
        <f>'1_HDV calcs'!AI40</f>
        <v>0.25965437636928501</v>
      </c>
      <c r="AM6" s="234">
        <f>'1_HDV calcs'!AJ40</f>
        <v>0.26015404891271393</v>
      </c>
      <c r="AN6" s="234">
        <f>'1_HDV calcs'!AK40</f>
        <v>0.26065546004421597</v>
      </c>
      <c r="AO6" s="234">
        <f>'1_HDV calcs'!AL40</f>
        <v>0.26115861709094002</v>
      </c>
      <c r="AP6" s="234">
        <f>'1_HDV calcs'!AM40</f>
        <v>0.26166352739708182</v>
      </c>
      <c r="AQ6" s="234">
        <f>'1_HDV calcs'!AN40</f>
        <v>0.26217019832342148</v>
      </c>
      <c r="AR6" s="234">
        <f>'1_HDV calcs'!AO40</f>
        <v>0.26267863724684543</v>
      </c>
      <c r="AS6" s="234">
        <f>'1_HDV calcs'!AP40</f>
        <v>0.26318885155985117</v>
      </c>
      <c r="AT6" s="234">
        <f>'1_HDV calcs'!AQ40</f>
        <v>0.26370084867003518</v>
      </c>
      <c r="AU6" s="234">
        <f>'1_HDV calcs'!AR40</f>
        <v>0.26421463599956302</v>
      </c>
      <c r="AV6" s="234">
        <f>'1_HDV calcs'!AS40</f>
        <v>0.26473022098462096</v>
      </c>
      <c r="AW6" s="234">
        <f>'1_HDV calcs'!AT40</f>
        <v>0.26524761107484968</v>
      </c>
      <c r="AX6" s="234">
        <f>'1_HDV calcs'!AU40</f>
        <v>0.26576681373275834</v>
      </c>
      <c r="AY6" s="234">
        <f>'1_HDV calcs'!AV40</f>
        <v>0.26628783643311937</v>
      </c>
      <c r="AZ6" s="234">
        <f>'1_HDV calcs'!AW40</f>
        <v>0.26681068666234309</v>
      </c>
      <c r="BA6" s="234">
        <f>'1_HDV calcs'!AX40</f>
        <v>0.26733537191783152</v>
      </c>
      <c r="BB6" s="234">
        <f>'1_HDV calcs'!AY40</f>
        <v>0.26786189970731117</v>
      </c>
      <c r="BC6" s="234">
        <f>'1_HDV calcs'!AZ40</f>
        <v>0.26839027754814437</v>
      </c>
      <c r="BD6" s="234">
        <f>'1_HDV calcs'!BA40</f>
        <v>0.26892051296661768</v>
      </c>
      <c r="BE6" s="234">
        <f>'1_HDV calcs'!BB40</f>
        <v>0.26945261349720817</v>
      </c>
      <c r="BF6" s="234">
        <f>'1_HDV calcs'!BC40</f>
        <v>0.26998658668182551</v>
      </c>
      <c r="BG6" s="234">
        <f>'1_HDV calcs'!BD40</f>
        <v>0.27052244006903059</v>
      </c>
      <c r="BH6" s="234">
        <f>'1_HDV calcs'!BE40</f>
        <v>0.27106018121322889</v>
      </c>
      <c r="BI6" s="234">
        <f>'1_HDV calcs'!BF40</f>
        <v>0.27159981767383906</v>
      </c>
      <c r="BJ6" s="234">
        <f>'1_HDV calcs'!BG40</f>
        <v>0.27214135701443504</v>
      </c>
      <c r="BK6" s="234">
        <f>'1_HDV calcs'!BH40</f>
        <v>0.27268480680186147</v>
      </c>
      <c r="BL6" s="234">
        <f>'1_HDV calcs'!BI40</f>
        <v>0.27323017460532212</v>
      </c>
      <c r="BM6" s="234">
        <f>'1_HDV calcs'!BJ40</f>
        <v>0.27377746799543984</v>
      </c>
      <c r="BN6" s="234">
        <f>'1_HDV calcs'!BK40</f>
        <v>0.27432669454328762</v>
      </c>
      <c r="BO6" s="234">
        <f>'1_HDV calcs'!BL40</f>
        <v>0.27487786181939067</v>
      </c>
      <c r="BP6" s="234">
        <f>'1_HDV calcs'!BM40</f>
        <v>0.27543097739269712</v>
      </c>
    </row>
    <row r="7" spans="1:68" s="233" customFormat="1" x14ac:dyDescent="0.25">
      <c r="A7" s="233" t="s">
        <v>528</v>
      </c>
      <c r="B7" s="233" t="s">
        <v>533</v>
      </c>
      <c r="C7" s="233" t="s">
        <v>534</v>
      </c>
      <c r="D7" s="233" t="s">
        <v>535</v>
      </c>
      <c r="E7" s="233" t="s">
        <v>530</v>
      </c>
      <c r="F7" s="233" t="s">
        <v>538</v>
      </c>
      <c r="G7" s="233" t="s">
        <v>531</v>
      </c>
      <c r="H7" s="234">
        <f>'1_HDV calcs'!E40</f>
        <v>0.24543710366392282</v>
      </c>
      <c r="I7" s="234">
        <f>'1_HDV calcs'!F40</f>
        <v>0.24588792616053645</v>
      </c>
      <c r="J7" s="234">
        <f>'1_HDV calcs'!G40</f>
        <v>0.24634027708480746</v>
      </c>
      <c r="K7" s="234">
        <f>'1_HDV calcs'!H40</f>
        <v>0.24679416310367844</v>
      </c>
      <c r="L7" s="234">
        <f>'1_HDV calcs'!I40</f>
        <v>0.24724959090916127</v>
      </c>
      <c r="M7" s="234">
        <f>'1_HDV calcs'!J40</f>
        <v>0.24770656721820902</v>
      </c>
      <c r="N7" s="234">
        <f>'1_HDV calcs'!K40</f>
        <v>0.24816509877258114</v>
      </c>
      <c r="O7" s="234">
        <f>'1_HDV calcs'!L40</f>
        <v>0.24862519233870026</v>
      </c>
      <c r="P7" s="234">
        <f>'1_HDV calcs'!M40</f>
        <v>0.24908685470750211</v>
      </c>
      <c r="Q7" s="234">
        <f>'1_HDV calcs'!N40</f>
        <v>0.24955009269427655</v>
      </c>
      <c r="R7" s="234">
        <f>'1_HDV calcs'!O40</f>
        <v>0.25001491313850133</v>
      </c>
      <c r="S7" s="234">
        <f>'1_HDV calcs'!P40</f>
        <v>0.25048132290366643</v>
      </c>
      <c r="T7" s="234">
        <f>'1_HDV calcs'!Q40</f>
        <v>0.25094932887709087</v>
      </c>
      <c r="U7" s="234">
        <f>'1_HDV calcs'!R40</f>
        <v>0.25141893796972942</v>
      </c>
      <c r="V7" s="234">
        <f>'1_HDV calcs'!S40</f>
        <v>0.25189015711597146</v>
      </c>
      <c r="W7" s="234">
        <f>'1_HDV calcs'!T40</f>
        <v>0.25236299327342893</v>
      </c>
      <c r="X7" s="234">
        <f>'1_HDV calcs'!U40</f>
        <v>0.25283745342271619</v>
      </c>
      <c r="Y7" s="234">
        <f>'1_HDV calcs'!V40</f>
        <v>0.25331354456721916</v>
      </c>
      <c r="Z7" s="234">
        <f>'1_HDV calcs'!W40</f>
        <v>0.25379127373285387</v>
      </c>
      <c r="AA7" s="234">
        <f>'1_HDV calcs'!X40</f>
        <v>0.25427064796781595</v>
      </c>
      <c r="AB7" s="234">
        <f>'1_HDV calcs'!Y40</f>
        <v>0.25475167434231788</v>
      </c>
      <c r="AC7" s="234">
        <f>'1_HDV calcs'!Z40</f>
        <v>0.25523435994831628</v>
      </c>
      <c r="AD7" s="234">
        <f>'1_HDV calcs'!AA40</f>
        <v>0.25571871189922718</v>
      </c>
      <c r="AE7" s="234">
        <f>'1_HDV calcs'!AB40</f>
        <v>0.25620473732963062</v>
      </c>
      <c r="AF7" s="234">
        <f>'1_HDV calcs'!AC40</f>
        <v>0.25669244339496194</v>
      </c>
      <c r="AG7" s="234">
        <f>'1_HDV calcs'!AD40</f>
        <v>0.25718183727119226</v>
      </c>
      <c r="AH7" s="234">
        <f>'1_HDV calcs'!AE40</f>
        <v>0.2576729261544955</v>
      </c>
      <c r="AI7" s="234">
        <f>'1_HDV calcs'!AF40</f>
        <v>0.25816571726090271</v>
      </c>
      <c r="AJ7" s="234">
        <f>'1_HDV calcs'!AG40</f>
        <v>0.25866021782594339</v>
      </c>
      <c r="AK7" s="234">
        <f>'1_HDV calcs'!AH40</f>
        <v>0.25915643510427255</v>
      </c>
      <c r="AL7" s="234">
        <f>'1_HDV calcs'!AI40</f>
        <v>0.25965437636928501</v>
      </c>
      <c r="AM7" s="234">
        <f>'1_HDV calcs'!AJ40</f>
        <v>0.26015404891271393</v>
      </c>
      <c r="AN7" s="234">
        <f>'1_HDV calcs'!AK40</f>
        <v>0.26065546004421597</v>
      </c>
      <c r="AO7" s="234">
        <f>'1_HDV calcs'!AL40</f>
        <v>0.26115861709094002</v>
      </c>
      <c r="AP7" s="234">
        <f>'1_HDV calcs'!AM40</f>
        <v>0.26166352739708182</v>
      </c>
      <c r="AQ7" s="234">
        <f>'1_HDV calcs'!AN40</f>
        <v>0.26217019832342148</v>
      </c>
      <c r="AR7" s="234">
        <f>'1_HDV calcs'!AO40</f>
        <v>0.26267863724684543</v>
      </c>
      <c r="AS7" s="234">
        <f>'1_HDV calcs'!AP40</f>
        <v>0.26318885155985117</v>
      </c>
      <c r="AT7" s="234">
        <f>'1_HDV calcs'!AQ40</f>
        <v>0.26370084867003518</v>
      </c>
      <c r="AU7" s="234">
        <f>'1_HDV calcs'!AR40</f>
        <v>0.26421463599956302</v>
      </c>
      <c r="AV7" s="234">
        <f>'1_HDV calcs'!AS40</f>
        <v>0.26473022098462096</v>
      </c>
      <c r="AW7" s="234">
        <f>'1_HDV calcs'!AT40</f>
        <v>0.26524761107484968</v>
      </c>
      <c r="AX7" s="234">
        <f>'1_HDV calcs'!AU40</f>
        <v>0.26576681373275834</v>
      </c>
      <c r="AY7" s="234">
        <f>'1_HDV calcs'!AV40</f>
        <v>0.26628783643311937</v>
      </c>
      <c r="AZ7" s="234">
        <f>'1_HDV calcs'!AW40</f>
        <v>0.26681068666234309</v>
      </c>
      <c r="BA7" s="234">
        <f>'1_HDV calcs'!AX40</f>
        <v>0.26733537191783152</v>
      </c>
      <c r="BB7" s="234">
        <f>'1_HDV calcs'!AY40</f>
        <v>0.26786189970731117</v>
      </c>
      <c r="BC7" s="234">
        <f>'1_HDV calcs'!AZ40</f>
        <v>0.26839027754814437</v>
      </c>
      <c r="BD7" s="234">
        <f>'1_HDV calcs'!BA40</f>
        <v>0.26892051296661768</v>
      </c>
      <c r="BE7" s="234">
        <f>'1_HDV calcs'!BB40</f>
        <v>0.26945261349720817</v>
      </c>
      <c r="BF7" s="234">
        <f>'1_HDV calcs'!BC40</f>
        <v>0.26998658668182551</v>
      </c>
      <c r="BG7" s="234">
        <f>'1_HDV calcs'!BD40</f>
        <v>0.27052244006903059</v>
      </c>
      <c r="BH7" s="234">
        <f>'1_HDV calcs'!BE40</f>
        <v>0.27106018121322889</v>
      </c>
      <c r="BI7" s="234">
        <f>'1_HDV calcs'!BF40</f>
        <v>0.27159981767383906</v>
      </c>
      <c r="BJ7" s="234">
        <f>'1_HDV calcs'!BG40</f>
        <v>0.27214135701443504</v>
      </c>
      <c r="BK7" s="234">
        <f>'1_HDV calcs'!BH40</f>
        <v>0.27268480680186147</v>
      </c>
      <c r="BL7" s="234">
        <f>'1_HDV calcs'!BI40</f>
        <v>0.27323017460532212</v>
      </c>
      <c r="BM7" s="234">
        <f>'1_HDV calcs'!BJ40</f>
        <v>0.27377746799543984</v>
      </c>
      <c r="BN7" s="234">
        <f>'1_HDV calcs'!BK40</f>
        <v>0.27432669454328762</v>
      </c>
      <c r="BO7" s="234">
        <f>'1_HDV calcs'!BL40</f>
        <v>0.27487786181939067</v>
      </c>
      <c r="BP7" s="234">
        <f>'1_HDV calcs'!BM40</f>
        <v>0.27543097739269712</v>
      </c>
    </row>
    <row r="8" spans="1:68" s="233" customFormat="1" x14ac:dyDescent="0.25">
      <c r="A8" s="233" t="s">
        <v>529</v>
      </c>
      <c r="B8" s="233" t="s">
        <v>533</v>
      </c>
      <c r="C8" s="233" t="s">
        <v>534</v>
      </c>
      <c r="D8" s="233" t="s">
        <v>535</v>
      </c>
      <c r="E8" s="233" t="s">
        <v>530</v>
      </c>
      <c r="F8" s="233" t="s">
        <v>538</v>
      </c>
      <c r="G8" s="233" t="s">
        <v>531</v>
      </c>
      <c r="H8" s="234">
        <f>'1_HDV calcs'!E42</f>
        <v>0.41502167545910412</v>
      </c>
      <c r="I8" s="234">
        <f>'1_HDV calcs'!F42</f>
        <v>0.40746431161349866</v>
      </c>
      <c r="J8" s="234">
        <f>'1_HDV calcs'!G42</f>
        <v>0.4000846216179641</v>
      </c>
      <c r="K8" s="234">
        <f>'1_HDV calcs'!H42</f>
        <v>0.39298793949462857</v>
      </c>
      <c r="L8" s="234">
        <f>'1_HDV calcs'!I42</f>
        <v>0.3862378346610621</v>
      </c>
      <c r="M8" s="234">
        <f>'1_HDV calcs'!J42</f>
        <v>0.37986901169689496</v>
      </c>
      <c r="N8" s="234">
        <f>'1_HDV calcs'!K42</f>
        <v>0.3738966440830685</v>
      </c>
      <c r="O8" s="234">
        <f>'1_HDV calcs'!L42</f>
        <v>0.36832293426126611</v>
      </c>
      <c r="P8" s="234">
        <f>'1_HDV calcs'!M42</f>
        <v>0.36314166179179347</v>
      </c>
      <c r="Q8" s="234">
        <f>'1_HDV calcs'!N42</f>
        <v>0.3583413085883857</v>
      </c>
      <c r="R8" s="234">
        <f>'1_HDV calcs'!O42</f>
        <v>0.35390719066550858</v>
      </c>
      <c r="S8" s="234">
        <f>'1_HDV calcs'!P42</f>
        <v>0.34982290073402872</v>
      </c>
      <c r="T8" s="234">
        <f>'1_HDV calcs'!Q42</f>
        <v>0.34607127430975465</v>
      </c>
      <c r="U8" s="234">
        <f>'1_HDV calcs'!R42</f>
        <v>0.34263502696889409</v>
      </c>
      <c r="V8" s="234">
        <f>'1_HDV calcs'!S42</f>
        <v>0.33949716498762272</v>
      </c>
      <c r="W8" s="234">
        <f>'1_HDV calcs'!T42</f>
        <v>0.33664124014780605</v>
      </c>
      <c r="X8" s="234">
        <f>'1_HDV calcs'!U42</f>
        <v>0.3340514977541158</v>
      </c>
      <c r="Y8" s="234">
        <f>'1_HDV calcs'!V42</f>
        <v>0.33171295188595634</v>
      </c>
      <c r="Z8" s="234">
        <f>'1_HDV calcs'!W42</f>
        <v>0.32961141151002393</v>
      </c>
      <c r="AA8" s="234">
        <f>'1_HDV calcs'!X42</f>
        <v>0.32773347386565932</v>
      </c>
      <c r="AB8" s="234">
        <f>'1_HDV calcs'!Y42</f>
        <v>0.326066496517533</v>
      </c>
      <c r="AC8" s="234">
        <f>'1_HDV calcs'!Z42</f>
        <v>0.32459855597152959</v>
      </c>
      <c r="AD8" s="234">
        <f>'1_HDV calcs'!AA42</f>
        <v>0.32331839830522102</v>
      </c>
      <c r="AE8" s="234">
        <f>'1_HDV calcs'!AB42</f>
        <v>0.3222153855541896</v>
      </c>
      <c r="AF8" s="234">
        <f>'1_HDV calcs'!AC42</f>
        <v>0.32127944039871154</v>
      </c>
      <c r="AG8" s="234">
        <f>'1_HDV calcs'!AD42</f>
        <v>0.32050099085874573</v>
      </c>
      <c r="AH8" s="234">
        <f>'1_HDV calcs'!AE42</f>
        <v>0.31987091612208257</v>
      </c>
      <c r="AI8" s="234">
        <f>'1_HDV calcs'!AF42</f>
        <v>0.31938049422628217</v>
      </c>
      <c r="AJ8" s="234">
        <f>'1_HDV calcs'!AG42</f>
        <v>0.31902135203727755</v>
      </c>
      <c r="AK8" s="234">
        <f>'1_HDV calcs'!AH42</f>
        <v>0.31878541777928449</v>
      </c>
      <c r="AL8" s="234">
        <f>'1_HDV calcs'!AI42</f>
        <v>0.3186648762457916</v>
      </c>
      <c r="AM8" s="234">
        <f>'1_HDV calcs'!AJ42</f>
        <v>0.31865212674129878</v>
      </c>
      <c r="AN8" s="234">
        <f>'1_HDV calcs'!AK42</f>
        <v>0.3187397437548608</v>
      </c>
      <c r="AO8" s="234">
        <f>'1_HDV calcs'!AL42</f>
        <v>0.31892044033982819</v>
      </c>
      <c r="AP8" s="234">
        <f>'1_HDV calcs'!AM42</f>
        <v>0.31918703416261118</v>
      </c>
      <c r="AQ8" s="234">
        <f>'1_HDV calcs'!AN42</f>
        <v>0.31953241618180639</v>
      </c>
      <c r="AR8" s="234">
        <f>'1_HDV calcs'!AO42</f>
        <v>0.31994952192397969</v>
      </c>
      <c r="AS8" s="234">
        <f>'1_HDV calcs'!AP42</f>
        <v>0.32043130533109326</v>
      </c>
      <c r="AT8" s="234">
        <f>'1_HDV calcs'!AQ42</f>
        <v>0.32097071516497871</v>
      </c>
      <c r="AU8" s="234">
        <f>'1_HDV calcs'!AR42</f>
        <v>0.32156067396489035</v>
      </c>
      <c r="AV8" s="234">
        <f>'1_HDV calcs'!AS42</f>
        <v>0.32219405956389563</v>
      </c>
      <c r="AW8" s="234">
        <f>'1_HDV calcs'!AT42</f>
        <v>0.32286368917782127</v>
      </c>
      <c r="AX8" s="234">
        <f>'1_HDV calcs'!AU42</f>
        <v>0.32356230608609804</v>
      </c>
      <c r="AY8" s="234">
        <f>'1_HDV calcs'!AV42</f>
        <v>0.32428256892675206</v>
      </c>
      <c r="AZ8" s="234">
        <f>'1_HDV calcs'!AW42</f>
        <v>0.32501704362780254</v>
      </c>
      <c r="BA8" s="234">
        <f>'1_HDV calcs'!AX42</f>
        <v>0.32575819799449873</v>
      </c>
      <c r="BB8" s="234">
        <f>'1_HDV calcs'!AY42</f>
        <v>0.32649839896638683</v>
      </c>
      <c r="BC8" s="234">
        <f>'1_HDV calcs'!AZ42</f>
        <v>0.32722991255061729</v>
      </c>
      <c r="BD8" s="234">
        <f>'1_HDV calcs'!BA42</f>
        <v>0.32794490642883795</v>
      </c>
      <c r="BE8" s="234">
        <f>'1_HDV calcs'!BB42</f>
        <v>0.32863545522533116</v>
      </c>
      <c r="BF8" s="234">
        <f>'1_HDV calcs'!BC42</f>
        <v>0.32929354841476582</v>
      </c>
      <c r="BG8" s="234">
        <f>'1_HDV calcs'!BD42</f>
        <v>0.32991110084016995</v>
      </c>
      <c r="BH8" s="234">
        <f>'1_HDV calcs'!BE42</f>
        <v>0.33047996580666095</v>
      </c>
      <c r="BI8" s="234">
        <f>'1_HDV calcs'!BF42</f>
        <v>0.33099195071518112</v>
      </c>
      <c r="BJ8" s="234">
        <f>'1_HDV calcs'!BG42</f>
        <v>0.33143883520389222</v>
      </c>
      <c r="BK8" s="234">
        <f>'1_HDV calcs'!BH42</f>
        <v>0.33181239177353516</v>
      </c>
      <c r="BL8" s="234">
        <f>'1_HDV calcs'!BI42</f>
        <v>0.33210440888704307</v>
      </c>
      <c r="BM8" s="234">
        <f>'1_HDV calcs'!BJ42</f>
        <v>0.33230671655243121</v>
      </c>
      <c r="BN8" s="234">
        <f>'1_HDV calcs'!BK42</f>
        <v>0.33241121442011434</v>
      </c>
      <c r="BO8" s="234">
        <f>'1_HDV calcs'!BL42</f>
        <v>0.33240990244910357</v>
      </c>
      <c r="BP8" s="234">
        <f>'1_HDV calcs'!BM42</f>
        <v>0.332294914217872</v>
      </c>
    </row>
    <row r="9" spans="1:68" s="233" customFormat="1" x14ac:dyDescent="0.25">
      <c r="A9" s="233" t="s">
        <v>532</v>
      </c>
      <c r="B9" s="233" t="s">
        <v>533</v>
      </c>
      <c r="C9" s="233" t="s">
        <v>534</v>
      </c>
      <c r="D9" s="233" t="s">
        <v>535</v>
      </c>
      <c r="E9" s="233" t="s">
        <v>530</v>
      </c>
      <c r="F9" s="233" t="s">
        <v>538</v>
      </c>
      <c r="G9" s="233" t="s">
        <v>531</v>
      </c>
      <c r="H9" s="237">
        <f>'1_HDV calcs'!E41</f>
        <v>0.31512404452781795</v>
      </c>
      <c r="I9" s="237">
        <f>'1_HDV calcs'!F41</f>
        <v>0.31231197364851887</v>
      </c>
      <c r="J9" s="237">
        <f>'1_HDV calcs'!G41</f>
        <v>0.30969312869773225</v>
      </c>
      <c r="K9" s="237">
        <f>'1_HDV calcs'!H41</f>
        <v>0.30725759686320681</v>
      </c>
      <c r="L9" s="237">
        <f>'1_HDV calcs'!I41</f>
        <v>0.3049960721601444</v>
      </c>
      <c r="M9" s="237">
        <f>'1_HDV calcs'!J41</f>
        <v>0.30289980368592373</v>
      </c>
      <c r="N9" s="237">
        <f>'1_HDV calcs'!K41</f>
        <v>0.30096056823702894</v>
      </c>
      <c r="O9" s="237">
        <f>'1_HDV calcs'!L41</f>
        <v>0.29917064037524022</v>
      </c>
      <c r="P9" s="237">
        <f>'1_HDV calcs'!M41</f>
        <v>0.29752276132833388</v>
      </c>
      <c r="Q9" s="237">
        <f>'1_HDV calcs'!N41</f>
        <v>0.29601010768833513</v>
      </c>
      <c r="R9" s="237">
        <f>'1_HDV calcs'!O41</f>
        <v>0.29462626056442587</v>
      </c>
      <c r="S9" s="237">
        <f>'1_HDV calcs'!P41</f>
        <v>0.29336517562641906</v>
      </c>
      <c r="T9" s="237">
        <f>'1_HDV calcs'!Q41</f>
        <v>0.29222115431539758</v>
      </c>
      <c r="U9" s="237">
        <f>'1_HDV calcs'!R41</f>
        <v>0.29118881638405425</v>
      </c>
      <c r="V9" s="237">
        <f>'1_HDV calcs'!S41</f>
        <v>0.29026307384831601</v>
      </c>
      <c r="W9" s="237">
        <f>'1_HDV calcs'!T41</f>
        <v>0.28943910637510673</v>
      </c>
      <c r="X9" s="237">
        <f>'1_HDV calcs'!U41</f>
        <v>0.28871233809209373</v>
      </c>
      <c r="Y9" s="237">
        <f>'1_HDV calcs'!V41</f>
        <v>0.28807841577918303</v>
      </c>
      <c r="Z9" s="237">
        <f>'1_HDV calcs'!W41</f>
        <v>0.28753318838485986</v>
      </c>
      <c r="AA9" s="237">
        <f>'1_HDV calcs'!X41</f>
        <v>0.28707268780062284</v>
      </c>
      <c r="AB9" s="237">
        <f>'1_HDV calcs'!Y41</f>
        <v>0.28669311082182447</v>
      </c>
      <c r="AC9" s="237">
        <f>'1_HDV calcs'!Z41</f>
        <v>0.28639080222179691</v>
      </c>
      <c r="AD9" s="237">
        <f>'1_HDV calcs'!AA41</f>
        <v>0.28616223886717956</v>
      </c>
      <c r="AE9" s="237">
        <f>'1_HDV calcs'!AB41</f>
        <v>0.2860040148051135</v>
      </c>
      <c r="AF9" s="237">
        <f>'1_HDV calcs'!AC41</f>
        <v>0.28591282725686962</v>
      </c>
      <c r="AG9" s="237">
        <f>'1_HDV calcs'!AD41</f>
        <v>0.28588546345712496</v>
      </c>
      <c r="AH9" s="237">
        <f>'1_HDV calcs'!AE41</f>
        <v>0.28591878828319883</v>
      </c>
      <c r="AI9" s="237">
        <f>'1_HDV calcs'!AF41</f>
        <v>0.28600973262390073</v>
      </c>
      <c r="AJ9" s="237">
        <f>'1_HDV calcs'!AG41</f>
        <v>0.28615528244305727</v>
      </c>
      <c r="AK9" s="237">
        <f>'1_HDV calcs'!AH41</f>
        <v>0.28635246849817902</v>
      </c>
      <c r="AL9" s="237">
        <f>'1_HDV calcs'!AI41</f>
        <v>0.28659835668001549</v>
      </c>
      <c r="AM9" s="237">
        <f>'1_HDV calcs'!AJ41</f>
        <v>0.28689003894386689</v>
      </c>
      <c r="AN9" s="237">
        <f>'1_HDV calcs'!AK41</f>
        <v>0.28722462480845024</v>
      </c>
      <c r="AO9" s="237">
        <f>'1_HDV calcs'!AL41</f>
        <v>0.2875992334028013</v>
      </c>
      <c r="AP9" s="237">
        <f>'1_HDV calcs'!AM41</f>
        <v>0.28801098604613845</v>
      </c>
      <c r="AQ9" s="237">
        <f>'1_HDV calcs'!AN41</f>
        <v>0.28845699934977886</v>
      </c>
      <c r="AR9" s="237">
        <f>'1_HDV calcs'!AO41</f>
        <v>0.28893437883408096</v>
      </c>
      <c r="AS9" s="237">
        <f>'1_HDV calcs'!AP41</f>
        <v>0.28944021305697287</v>
      </c>
      <c r="AT9" s="237">
        <f>'1_HDV calcs'!AQ41</f>
        <v>0.28997156825390069</v>
      </c>
      <c r="AU9" s="237">
        <f>'1_HDV calcs'!AR41</f>
        <v>0.29052548349198315</v>
      </c>
      <c r="AV9" s="237">
        <f>'1_HDV calcs'!AS41</f>
        <v>0.29109896634377785</v>
      </c>
      <c r="AW9" s="237">
        <f>'1_HDV calcs'!AT41</f>
        <v>0.29168898908834057</v>
      </c>
      <c r="AX9" s="237">
        <f>'1_HDV calcs'!AU41</f>
        <v>0.29229248544918041</v>
      </c>
      <c r="AY9" s="237">
        <f>'1_HDV calcs'!AV41</f>
        <v>0.29290634788027187</v>
      </c>
      <c r="AZ9" s="237">
        <f>'1_HDV calcs'!AW41</f>
        <v>0.29352742541247889</v>
      </c>
      <c r="BA9" s="237">
        <f>'1_HDV calcs'!AX41</f>
        <v>0.29415252207357001</v>
      </c>
      <c r="BB9" s="237">
        <f>'1_HDV calcs'!AY41</f>
        <v>0.29477839589545518</v>
      </c>
      <c r="BC9" s="237">
        <f>'1_HDV calcs'!AZ41</f>
        <v>0.29540175852237238</v>
      </c>
      <c r="BD9" s="237">
        <f>'1_HDV calcs'!BA41</f>
        <v>0.29601927543349282</v>
      </c>
      <c r="BE9" s="237">
        <f>'1_HDV calcs'!BB41</f>
        <v>0.29662756679282276</v>
      </c>
      <c r="BF9" s="237">
        <f>'1_HDV calcs'!BC41</f>
        <v>0.29722320893838222</v>
      </c>
      <c r="BG9" s="237">
        <f>'1_HDV calcs'!BD41</f>
        <v>0.29780273652145406</v>
      </c>
      <c r="BH9" s="237">
        <f>'1_HDV calcs'!BE41</f>
        <v>0.29836264530526935</v>
      </c>
      <c r="BI9" s="237">
        <f>'1_HDV calcs'!BF41</f>
        <v>0.29889939563084361</v>
      </c>
      <c r="BJ9" s="237">
        <f>'1_HDV calcs'!BG41</f>
        <v>0.29940941655586806</v>
      </c>
      <c r="BK9" s="237">
        <f>'1_HDV calcs'!BH41</f>
        <v>0.29988911067059976</v>
      </c>
      <c r="BL9" s="237">
        <f>'1_HDV calcs'!BI41</f>
        <v>0.3003348595926425</v>
      </c>
      <c r="BM9" s="237">
        <f>'1_HDV calcs'!BJ41</f>
        <v>0.30074303014038839</v>
      </c>
      <c r="BN9" s="237">
        <f>'1_HDV calcs'!BK41</f>
        <v>0.30110998118271198</v>
      </c>
      <c r="BO9" s="237">
        <f>'1_HDV calcs'!BL41</f>
        <v>0.30143207116029613</v>
      </c>
      <c r="BP9" s="237">
        <f>'1_HDV calcs'!BM41</f>
        <v>0.30170566627169493</v>
      </c>
    </row>
    <row r="10" spans="1:68" s="233" customFormat="1" x14ac:dyDescent="0.25"/>
    <row r="11" spans="1:68" s="233" customFormat="1" x14ac:dyDescent="0.25">
      <c r="D11" s="240" t="s">
        <v>550</v>
      </c>
      <c r="E11" s="241"/>
    </row>
    <row r="12" spans="1:68" s="233" customFormat="1" x14ac:dyDescent="0.25">
      <c r="D12" s="241">
        <v>1</v>
      </c>
      <c r="E12" s="242" t="s">
        <v>549</v>
      </c>
    </row>
    <row r="13" spans="1:68" s="233" customFormat="1" x14ac:dyDescent="0.25"/>
    <row r="14" spans="1:68" s="233" customFormat="1" x14ac:dyDescent="0.25"/>
    <row r="15" spans="1:68" s="233" customFormat="1" x14ac:dyDescent="0.25"/>
    <row r="16" spans="1:68" s="233" customFormat="1" x14ac:dyDescent="0.25"/>
    <row r="17" s="233" customFormat="1" x14ac:dyDescent="0.25"/>
    <row r="18" s="233" customFormat="1" x14ac:dyDescent="0.25"/>
    <row r="19" s="233" customFormat="1" x14ac:dyDescent="0.25"/>
    <row r="20" s="233" customFormat="1" x14ac:dyDescent="0.25"/>
    <row r="21" s="233" customFormat="1" x14ac:dyDescent="0.25"/>
    <row r="22" s="233" customFormat="1" x14ac:dyDescent="0.25"/>
    <row r="23" s="233" customFormat="1" x14ac:dyDescent="0.25"/>
    <row r="24" s="233" customFormat="1" x14ac:dyDescent="0.25"/>
    <row r="25" s="233" customFormat="1" x14ac:dyDescent="0.25"/>
    <row r="26" s="233" customFormat="1" x14ac:dyDescent="0.25"/>
    <row r="27" s="233" customFormat="1" x14ac:dyDescent="0.25"/>
    <row r="28" s="233" customFormat="1" x14ac:dyDescent="0.25"/>
    <row r="29" s="233" customFormat="1" x14ac:dyDescent="0.25"/>
    <row r="30" s="233" customFormat="1" x14ac:dyDescent="0.25"/>
    <row r="31" s="233" customFormat="1" x14ac:dyDescent="0.25"/>
    <row r="32" s="233" customFormat="1" x14ac:dyDescent="0.25"/>
    <row r="33" s="233" customFormat="1" x14ac:dyDescent="0.25"/>
    <row r="34" s="233" customFormat="1" x14ac:dyDescent="0.25"/>
    <row r="35" s="233" customFormat="1" x14ac:dyDescent="0.25"/>
    <row r="36" s="233" customFormat="1" x14ac:dyDescent="0.25"/>
    <row r="37" s="233" customFormat="1" x14ac:dyDescent="0.25"/>
    <row r="38" s="233" customFormat="1" x14ac:dyDescent="0.25"/>
    <row r="39" s="233" customFormat="1" x14ac:dyDescent="0.25"/>
    <row r="40" s="233" customFormat="1" x14ac:dyDescent="0.25"/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2:BM79"/>
  <sheetViews>
    <sheetView topLeftCell="A5" zoomScale="90" zoomScaleNormal="90" workbookViewId="0">
      <selection activeCell="A54" sqref="A54"/>
    </sheetView>
  </sheetViews>
  <sheetFormatPr defaultColWidth="8.5" defaultRowHeight="15" x14ac:dyDescent="0.25"/>
  <cols>
    <col min="1" max="1" width="16" style="6" customWidth="1"/>
    <col min="2" max="2" width="10.5" style="6" customWidth="1"/>
    <col min="3" max="3" width="24.375" style="6" bestFit="1" customWidth="1"/>
    <col min="4" max="4" width="13" style="6" bestFit="1" customWidth="1"/>
    <col min="5" max="5" width="10" style="6" bestFit="1" customWidth="1"/>
    <col min="6" max="16384" width="8.5" style="6"/>
  </cols>
  <sheetData>
    <row r="22" spans="1:64" x14ac:dyDescent="0.25">
      <c r="C22" s="6" t="s">
        <v>440</v>
      </c>
      <c r="D22" s="6" t="s">
        <v>441</v>
      </c>
    </row>
    <row r="23" spans="1:64" ht="15.75" x14ac:dyDescent="0.25">
      <c r="C23" s="200" t="s">
        <v>442</v>
      </c>
      <c r="D23" s="6" t="s">
        <v>462</v>
      </c>
    </row>
    <row r="24" spans="1:64" ht="15.75" x14ac:dyDescent="0.25">
      <c r="C24" s="200" t="s">
        <v>443</v>
      </c>
      <c r="D24" s="6" t="s">
        <v>539</v>
      </c>
    </row>
    <row r="25" spans="1:64" x14ac:dyDescent="0.25">
      <c r="D25" s="201"/>
    </row>
    <row r="26" spans="1:64" x14ac:dyDescent="0.25">
      <c r="D26" s="34" t="s">
        <v>208</v>
      </c>
      <c r="E26" s="14" t="s">
        <v>209</v>
      </c>
      <c r="F26" s="6">
        <v>0</v>
      </c>
      <c r="G26" s="6">
        <v>2</v>
      </c>
      <c r="H26" s="6">
        <v>4</v>
      </c>
      <c r="I26" s="6">
        <v>6</v>
      </c>
      <c r="J26" s="6">
        <v>8</v>
      </c>
      <c r="K26" s="6">
        <v>10</v>
      </c>
      <c r="L26" s="6">
        <v>12</v>
      </c>
      <c r="M26" s="6">
        <v>14</v>
      </c>
      <c r="N26" s="6">
        <v>16</v>
      </c>
      <c r="O26" s="6">
        <v>18</v>
      </c>
      <c r="P26" s="6">
        <v>20</v>
      </c>
      <c r="Q26" s="6">
        <v>22</v>
      </c>
      <c r="R26" s="6">
        <v>24</v>
      </c>
      <c r="S26" s="6">
        <v>26</v>
      </c>
      <c r="T26" s="6">
        <v>28</v>
      </c>
      <c r="U26" s="6">
        <v>30</v>
      </c>
      <c r="V26" s="6">
        <v>32</v>
      </c>
      <c r="W26" s="6">
        <v>34</v>
      </c>
      <c r="X26" s="6">
        <v>36</v>
      </c>
      <c r="Y26" s="6">
        <v>38</v>
      </c>
      <c r="Z26" s="6">
        <v>40</v>
      </c>
      <c r="AA26" s="6">
        <v>42</v>
      </c>
      <c r="AB26" s="6">
        <v>44</v>
      </c>
      <c r="AC26" s="6">
        <v>46</v>
      </c>
      <c r="AD26" s="6">
        <v>48</v>
      </c>
      <c r="AE26" s="6">
        <v>50</v>
      </c>
      <c r="AF26" s="6">
        <v>52</v>
      </c>
      <c r="AG26" s="6">
        <v>54</v>
      </c>
      <c r="AH26" s="6">
        <v>56</v>
      </c>
      <c r="AI26" s="6">
        <v>58</v>
      </c>
      <c r="AJ26" s="6">
        <v>60</v>
      </c>
      <c r="AK26" s="6">
        <v>62</v>
      </c>
      <c r="AL26" s="6">
        <v>64</v>
      </c>
      <c r="AM26" s="6">
        <v>66</v>
      </c>
      <c r="AN26" s="6">
        <v>68</v>
      </c>
      <c r="AO26" s="6">
        <v>70</v>
      </c>
      <c r="AP26" s="6">
        <v>72</v>
      </c>
      <c r="AQ26" s="6">
        <v>74</v>
      </c>
      <c r="AR26" s="6">
        <v>76</v>
      </c>
      <c r="AS26" s="6">
        <v>78</v>
      </c>
      <c r="AT26" s="6">
        <v>80</v>
      </c>
      <c r="AU26" s="6">
        <v>82</v>
      </c>
      <c r="AV26" s="6">
        <v>84</v>
      </c>
      <c r="AW26" s="6">
        <v>86</v>
      </c>
      <c r="AX26" s="6">
        <v>88</v>
      </c>
      <c r="AY26" s="6">
        <v>90</v>
      </c>
      <c r="AZ26" s="6">
        <v>92</v>
      </c>
      <c r="BA26" s="6">
        <v>94</v>
      </c>
      <c r="BB26" s="6">
        <v>96</v>
      </c>
      <c r="BC26" s="6">
        <v>98</v>
      </c>
      <c r="BD26" s="18"/>
      <c r="BL26" s="21"/>
    </row>
    <row r="27" spans="1:64" ht="15.75" x14ac:dyDescent="0.25">
      <c r="D27" s="202" t="s">
        <v>540</v>
      </c>
      <c r="E27" s="14" t="s">
        <v>211</v>
      </c>
      <c r="F27" s="6">
        <v>0</v>
      </c>
      <c r="G27" s="46">
        <f>45*(1-EXP(-0.025*G$26))/100</f>
        <v>2.1946758974678692E-2</v>
      </c>
      <c r="H27" s="46">
        <f t="shared" ref="H27:BC27" si="0">45*(1-EXP(-0.025*H$26))/100</f>
        <v>4.2823161883818218E-2</v>
      </c>
      <c r="I27" s="46">
        <f t="shared" si="0"/>
        <v>6.2681410608723981E-2</v>
      </c>
      <c r="J27" s="46">
        <f t="shared" si="0"/>
        <v>8.1571161114908183E-2</v>
      </c>
      <c r="K27" s="46">
        <f t="shared" si="0"/>
        <v>9.9539647617867807E-2</v>
      </c>
      <c r="L27" s="46">
        <f t="shared" si="0"/>
        <v>0.11663180069322696</v>
      </c>
      <c r="M27" s="46">
        <f t="shared" si="0"/>
        <v>0.13289035962657894</v>
      </c>
      <c r="N27" s="46">
        <f t="shared" si="0"/>
        <v>0.1483559792839623</v>
      </c>
      <c r="O27" s="46">
        <f t="shared" si="0"/>
        <v>0.163067331770202</v>
      </c>
      <c r="P27" s="46">
        <f t="shared" si="0"/>
        <v>0.17706120312931495</v>
      </c>
      <c r="Q27" s="46">
        <f t="shared" si="0"/>
        <v>0.19037258532878101</v>
      </c>
      <c r="R27" s="46">
        <f t="shared" si="0"/>
        <v>0.20303476375768814</v>
      </c>
      <c r="S27" s="46">
        <f t="shared" si="0"/>
        <v>0.21507940045754279</v>
      </c>
      <c r="T27" s="46">
        <f t="shared" si="0"/>
        <v>0.22653661329386576</v>
      </c>
      <c r="U27" s="46">
        <f t="shared" si="0"/>
        <v>0.23743505126654338</v>
      </c>
      <c r="V27" s="46">
        <f t="shared" si="0"/>
        <v>0.24780196614725028</v>
      </c>
      <c r="W27" s="46">
        <f t="shared" si="0"/>
        <v>0.25766328062307303</v>
      </c>
      <c r="X27" s="46">
        <f t="shared" si="0"/>
        <v>0.2670436531167304</v>
      </c>
      <c r="Y27" s="46">
        <f t="shared" si="0"/>
        <v>0.27596653944547445</v>
      </c>
      <c r="Z27" s="46">
        <f t="shared" si="0"/>
        <v>0.28445425147285097</v>
      </c>
      <c r="AA27" s="46">
        <f t="shared" si="0"/>
        <v>0.29252801289998009</v>
      </c>
      <c r="AB27" s="46">
        <f t="shared" si="0"/>
        <v>0.30020801233586419</v>
      </c>
      <c r="AC27" s="46">
        <f t="shared" si="0"/>
        <v>0.30751345377942607</v>
      </c>
      <c r="AD27" s="46">
        <f t="shared" si="0"/>
        <v>0.31446260463950909</v>
      </c>
      <c r="AE27" s="46">
        <f t="shared" si="0"/>
        <v>0.32107284141291442</v>
      </c>
      <c r="AF27" s="46">
        <f t="shared" si="0"/>
        <v>0.32736069313469435</v>
      </c>
      <c r="AG27" s="46">
        <f t="shared" si="0"/>
        <v>0.33334188270934889</v>
      </c>
      <c r="AH27" s="46">
        <f t="shared" si="0"/>
        <v>0.33903136622627705</v>
      </c>
      <c r="AI27" s="46">
        <f t="shared" si="0"/>
        <v>0.34444337035779105</v>
      </c>
      <c r="AJ27" s="46">
        <f t="shared" si="0"/>
        <v>0.34959142793320658</v>
      </c>
      <c r="AK27" s="46">
        <f t="shared" si="0"/>
        <v>0.35448841177796558</v>
      </c>
      <c r="AL27" s="46">
        <f t="shared" si="0"/>
        <v>0.35914656690240504</v>
      </c>
      <c r="AM27" s="46">
        <f t="shared" si="0"/>
        <v>0.36357754112066071</v>
      </c>
      <c r="AN27" s="46">
        <f t="shared" si="0"/>
        <v>0.3677924141762694</v>
      </c>
      <c r="AO27" s="46">
        <f t="shared" si="0"/>
        <v>0.37180172544729972</v>
      </c>
      <c r="AP27" s="46">
        <f t="shared" si="0"/>
        <v>0.37561550030028606</v>
      </c>
      <c r="AQ27" s="46">
        <f t="shared" si="0"/>
        <v>0.37924327515886758</v>
      </c>
      <c r="AR27" s="46">
        <f t="shared" si="0"/>
        <v>0.38269412134981423</v>
      </c>
      <c r="AS27" s="46">
        <f t="shared" si="0"/>
        <v>0.38597666778606893</v>
      </c>
      <c r="AT27" s="46">
        <f t="shared" si="0"/>
        <v>0.3890991225435243</v>
      </c>
      <c r="AU27" s="46">
        <f t="shared" si="0"/>
        <v>0.39206929338548813</v>
      </c>
      <c r="AV27" s="46">
        <f t="shared" si="0"/>
        <v>0.39489460728615816</v>
      </c>
      <c r="AW27" s="46">
        <f t="shared" si="0"/>
        <v>0.39758212900192641</v>
      </c>
      <c r="AX27" s="46">
        <f t="shared" si="0"/>
        <v>0.40013857873694975</v>
      </c>
      <c r="AY27" s="46">
        <f t="shared" si="0"/>
        <v>0.40257034894716104</v>
      </c>
      <c r="AZ27" s="46">
        <f t="shared" si="0"/>
        <v>0.40488352032473834</v>
      </c>
      <c r="BA27" s="46">
        <f t="shared" si="0"/>
        <v>0.40708387700300269</v>
      </c>
      <c r="BB27" s="46">
        <f t="shared" si="0"/>
        <v>0.40917692101976444</v>
      </c>
      <c r="BC27" s="46">
        <f t="shared" si="0"/>
        <v>0.41116788607528326</v>
      </c>
      <c r="BD27" s="53"/>
      <c r="BE27" s="46"/>
      <c r="BL27" s="21"/>
    </row>
    <row r="28" spans="1:64" ht="15.75" x14ac:dyDescent="0.25">
      <c r="D28" s="202" t="s">
        <v>541</v>
      </c>
      <c r="E28" s="14" t="s">
        <v>213</v>
      </c>
      <c r="F28" s="6">
        <v>0</v>
      </c>
      <c r="G28" s="46">
        <f>45*(1-EXP(-0.05*G$26))/100</f>
        <v>4.2823161883818218E-2</v>
      </c>
      <c r="H28" s="46">
        <f t="shared" ref="H28:BC28" si="1">45*(1-EXP(-0.05*H$26))/100</f>
        <v>8.1571161114908183E-2</v>
      </c>
      <c r="I28" s="46">
        <f t="shared" si="1"/>
        <v>0.11663180069322696</v>
      </c>
      <c r="J28" s="46">
        <f t="shared" si="1"/>
        <v>0.1483559792839623</v>
      </c>
      <c r="K28" s="46">
        <f t="shared" si="1"/>
        <v>0.17706120312931495</v>
      </c>
      <c r="L28" s="46">
        <f t="shared" si="1"/>
        <v>0.20303476375768814</v>
      </c>
      <c r="M28" s="46">
        <f t="shared" si="1"/>
        <v>0.22653661329386576</v>
      </c>
      <c r="N28" s="46">
        <f t="shared" si="1"/>
        <v>0.24780196614725028</v>
      </c>
      <c r="O28" s="46">
        <f t="shared" si="1"/>
        <v>0.2670436531167304</v>
      </c>
      <c r="P28" s="46">
        <f t="shared" si="1"/>
        <v>0.28445425147285097</v>
      </c>
      <c r="Q28" s="46">
        <f t="shared" si="1"/>
        <v>0.30020801233586419</v>
      </c>
      <c r="R28" s="46">
        <f t="shared" si="1"/>
        <v>0.31446260463950909</v>
      </c>
      <c r="S28" s="46">
        <f t="shared" si="1"/>
        <v>0.32736069313469435</v>
      </c>
      <c r="T28" s="46">
        <f t="shared" si="1"/>
        <v>0.33903136622627705</v>
      </c>
      <c r="U28" s="46">
        <f t="shared" si="1"/>
        <v>0.34959142793320658</v>
      </c>
      <c r="V28" s="46">
        <f t="shared" si="1"/>
        <v>0.35914656690240504</v>
      </c>
      <c r="W28" s="46">
        <f t="shared" si="1"/>
        <v>0.3677924141762694</v>
      </c>
      <c r="X28" s="46">
        <f t="shared" si="1"/>
        <v>0.37561550030028606</v>
      </c>
      <c r="Y28" s="46">
        <f t="shared" si="1"/>
        <v>0.38269412134981423</v>
      </c>
      <c r="Z28" s="46">
        <f t="shared" si="1"/>
        <v>0.3890991225435243</v>
      </c>
      <c r="AA28" s="46">
        <f t="shared" si="1"/>
        <v>0.39489460728615816</v>
      </c>
      <c r="AB28" s="46">
        <f t="shared" si="1"/>
        <v>0.40013857873694975</v>
      </c>
      <c r="AC28" s="46">
        <f t="shared" si="1"/>
        <v>0.40488352032473834</v>
      </c>
      <c r="AD28" s="46">
        <f t="shared" si="1"/>
        <v>0.40917692101976444</v>
      </c>
      <c r="AE28" s="46">
        <f t="shared" si="1"/>
        <v>0.41306175061924549</v>
      </c>
      <c r="AF28" s="46">
        <f t="shared" si="1"/>
        <v>0.41657688980354979</v>
      </c>
      <c r="AG28" s="46">
        <f t="shared" si="1"/>
        <v>0.41975751926711263</v>
      </c>
      <c r="AH28" s="46">
        <f t="shared" si="1"/>
        <v>0.42263547181865191</v>
      </c>
      <c r="AI28" s="46">
        <f t="shared" si="1"/>
        <v>0.42523955097461674</v>
      </c>
      <c r="AJ28" s="46">
        <f t="shared" si="1"/>
        <v>0.42759581923446122</v>
      </c>
      <c r="AK28" s="46">
        <f t="shared" si="1"/>
        <v>0.429727858922899</v>
      </c>
      <c r="AL28" s="46">
        <f t="shared" si="1"/>
        <v>0.43165700820973518</v>
      </c>
      <c r="AM28" s="46">
        <f t="shared" si="1"/>
        <v>0.43340257466944204</v>
      </c>
      <c r="AN28" s="46">
        <f t="shared" si="1"/>
        <v>0.43498202851785328</v>
      </c>
      <c r="AO28" s="46">
        <f t="shared" si="1"/>
        <v>0.43641117745995672</v>
      </c>
      <c r="AP28" s="46">
        <f t="shared" si="1"/>
        <v>0.43770432489871836</v>
      </c>
      <c r="AQ28" s="46">
        <f t="shared" si="1"/>
        <v>0.43887441308834729</v>
      </c>
      <c r="AR28" s="46">
        <f t="shared" si="1"/>
        <v>0.43993315266472549</v>
      </c>
      <c r="AS28" s="46">
        <f t="shared" si="1"/>
        <v>0.44089113984938805</v>
      </c>
      <c r="AT28" s="46">
        <f t="shared" si="1"/>
        <v>0.4417579625000696</v>
      </c>
      <c r="AU28" s="46">
        <f t="shared" si="1"/>
        <v>0.44254229606920747</v>
      </c>
      <c r="AV28" s="46">
        <f t="shared" si="1"/>
        <v>0.44325199043078506</v>
      </c>
      <c r="AW28" s="46">
        <f t="shared" si="1"/>
        <v>0.44389414844450958</v>
      </c>
      <c r="AX28" s="46">
        <f t="shared" si="1"/>
        <v>0.44447519704361921</v>
      </c>
      <c r="AY28" s="46">
        <f t="shared" si="1"/>
        <v>0.44500095155779101</v>
      </c>
      <c r="AZ28" s="46">
        <f t="shared" si="1"/>
        <v>0.44547667391491497</v>
      </c>
      <c r="BA28" s="46">
        <f t="shared" si="1"/>
        <v>0.44590712530423687</v>
      </c>
      <c r="BB28" s="46">
        <f t="shared" si="1"/>
        <v>0.44629661382794095</v>
      </c>
      <c r="BC28" s="46">
        <f t="shared" si="1"/>
        <v>0.44664903761808405</v>
      </c>
      <c r="BD28" s="53"/>
      <c r="BE28" s="46"/>
      <c r="BL28" s="21"/>
    </row>
    <row r="29" spans="1:64" s="54" customFormat="1" x14ac:dyDescent="0.25">
      <c r="C29" s="215"/>
      <c r="D29" s="216" t="s">
        <v>542</v>
      </c>
      <c r="E29" s="215" t="s">
        <v>213</v>
      </c>
      <c r="F29" s="215">
        <v>0</v>
      </c>
      <c r="G29" s="217">
        <f>45*(1-EXP(-0.075*G$26))/100</f>
        <v>6.2681410608723981E-2</v>
      </c>
      <c r="H29" s="217">
        <f t="shared" ref="H29:BC29" si="2">45*(1-EXP(-0.075*H$26))/100</f>
        <v>0.11663180069322696</v>
      </c>
      <c r="I29" s="217">
        <f t="shared" si="2"/>
        <v>0.163067331770202</v>
      </c>
      <c r="J29" s="217">
        <f t="shared" si="2"/>
        <v>0.20303476375768814</v>
      </c>
      <c r="K29" s="217">
        <f t="shared" si="2"/>
        <v>0.23743505126654338</v>
      </c>
      <c r="L29" s="217">
        <f t="shared" si="2"/>
        <v>0.2670436531167304</v>
      </c>
      <c r="M29" s="217">
        <f t="shared" si="2"/>
        <v>0.29252801289998009</v>
      </c>
      <c r="N29" s="217">
        <f t="shared" si="2"/>
        <v>0.31446260463950898</v>
      </c>
      <c r="O29" s="217">
        <f t="shared" si="2"/>
        <v>0.33334188270934884</v>
      </c>
      <c r="P29" s="217">
        <f t="shared" si="2"/>
        <v>0.34959142793320658</v>
      </c>
      <c r="Q29" s="217">
        <f t="shared" si="2"/>
        <v>0.36357754112066071</v>
      </c>
      <c r="R29" s="217">
        <f t="shared" si="2"/>
        <v>0.37561550030028606</v>
      </c>
      <c r="S29" s="217">
        <f t="shared" si="2"/>
        <v>0.38597666778606887</v>
      </c>
      <c r="T29" s="217">
        <f t="shared" si="2"/>
        <v>0.39489460728615816</v>
      </c>
      <c r="U29" s="217">
        <f t="shared" si="2"/>
        <v>0.40257034894716104</v>
      </c>
      <c r="V29" s="217">
        <f t="shared" si="2"/>
        <v>0.40917692101976444</v>
      </c>
      <c r="W29" s="217">
        <f t="shared" si="2"/>
        <v>0.41486325029948107</v>
      </c>
      <c r="X29" s="217">
        <f t="shared" si="2"/>
        <v>0.41975751926711263</v>
      </c>
      <c r="Y29" s="217">
        <f t="shared" si="2"/>
        <v>0.42397005560632267</v>
      </c>
      <c r="Z29" s="217">
        <f t="shared" si="2"/>
        <v>0.42759581923446122</v>
      </c>
      <c r="AA29" s="217">
        <f t="shared" si="2"/>
        <v>0.43071654290983191</v>
      </c>
      <c r="AB29" s="217">
        <f t="shared" si="2"/>
        <v>0.43340257466944204</v>
      </c>
      <c r="AC29" s="217">
        <f t="shared" si="2"/>
        <v>0.43571446362986938</v>
      </c>
      <c r="AD29" s="217">
        <f t="shared" si="2"/>
        <v>0.43770432489871836</v>
      </c>
      <c r="AE29" s="217">
        <f t="shared" si="2"/>
        <v>0.43941701436479591</v>
      </c>
      <c r="AF29" s="217">
        <f t="shared" si="2"/>
        <v>0.44089113984938805</v>
      </c>
      <c r="AG29" s="217">
        <f t="shared" si="2"/>
        <v>0.44215993141222798</v>
      </c>
      <c r="AH29" s="217">
        <f t="shared" si="2"/>
        <v>0.44325199043078506</v>
      </c>
      <c r="AI29" s="217">
        <f t="shared" si="2"/>
        <v>0.44419193433878407</v>
      </c>
      <c r="AJ29" s="217">
        <f t="shared" si="2"/>
        <v>0.44500095155779101</v>
      </c>
      <c r="AK29" s="217">
        <f t="shared" si="2"/>
        <v>0.4456972791312554</v>
      </c>
      <c r="AL29" s="217">
        <f t="shared" si="2"/>
        <v>0.44629661382794095</v>
      </c>
      <c r="AM29" s="217">
        <f t="shared" si="2"/>
        <v>0.44681246598192659</v>
      </c>
      <c r="AN29" s="217">
        <f t="shared" si="2"/>
        <v>0.44725646404551794</v>
      </c>
      <c r="AO29" s="217">
        <f t="shared" si="2"/>
        <v>0.44763861672036837</v>
      </c>
      <c r="AP29" s="217">
        <f t="shared" si="2"/>
        <v>0.44796753857582433</v>
      </c>
      <c r="AQ29" s="217">
        <f t="shared" si="2"/>
        <v>0.44825064424043576</v>
      </c>
      <c r="AR29" s="217">
        <f t="shared" si="2"/>
        <v>0.44849431554413799</v>
      </c>
      <c r="AS29" s="217">
        <f t="shared" si="2"/>
        <v>0.44870404537886022</v>
      </c>
      <c r="AT29" s="217">
        <f t="shared" si="2"/>
        <v>0.4488845615205001</v>
      </c>
      <c r="AU29" s="217">
        <f t="shared" si="2"/>
        <v>0.44903993320348307</v>
      </c>
      <c r="AV29" s="217">
        <f t="shared" si="2"/>
        <v>0.449173662850337</v>
      </c>
      <c r="AW29" s="217">
        <f t="shared" si="2"/>
        <v>0.44928876502406873</v>
      </c>
      <c r="AX29" s="217">
        <f t="shared" si="2"/>
        <v>0.44938783438310348</v>
      </c>
      <c r="AY29" s="217">
        <f t="shared" si="2"/>
        <v>0.44947310417064396</v>
      </c>
      <c r="AZ29" s="217">
        <f t="shared" si="2"/>
        <v>0.44954649655692813</v>
      </c>
      <c r="BA29" s="217">
        <f t="shared" si="2"/>
        <v>0.44960966596921187</v>
      </c>
      <c r="BB29" s="217">
        <f t="shared" si="2"/>
        <v>0.44966403638623048</v>
      </c>
      <c r="BC29" s="217">
        <f t="shared" si="2"/>
        <v>0.44971083343784002</v>
      </c>
      <c r="BD29" s="55"/>
      <c r="BE29" s="55"/>
      <c r="BL29" s="218"/>
    </row>
    <row r="30" spans="1:64" s="54" customFormat="1" ht="15.75" x14ac:dyDescent="0.25">
      <c r="D30" s="225" t="s">
        <v>543</v>
      </c>
      <c r="E30" s="22" t="s">
        <v>444</v>
      </c>
      <c r="F30" s="54">
        <v>0</v>
      </c>
      <c r="G30" s="55">
        <f>45*(1-EXP(-0.1*G$26))/100</f>
        <v>8.1571161114908183E-2</v>
      </c>
      <c r="H30" s="55">
        <f t="shared" ref="H30:BC30" si="3">45*(1-EXP(-0.1*H$26))/100</f>
        <v>0.1483559792839623</v>
      </c>
      <c r="I30" s="55">
        <f t="shared" si="3"/>
        <v>0.20303476375768814</v>
      </c>
      <c r="J30" s="55">
        <f t="shared" si="3"/>
        <v>0.24780196614725028</v>
      </c>
      <c r="K30" s="55">
        <f t="shared" si="3"/>
        <v>0.28445425147285097</v>
      </c>
      <c r="L30" s="55">
        <f t="shared" si="3"/>
        <v>0.31446260463950909</v>
      </c>
      <c r="M30" s="55">
        <f t="shared" si="3"/>
        <v>0.33903136622627705</v>
      </c>
      <c r="N30" s="55">
        <f t="shared" si="3"/>
        <v>0.35914656690240504</v>
      </c>
      <c r="O30" s="55">
        <f t="shared" si="3"/>
        <v>0.37561550030028606</v>
      </c>
      <c r="P30" s="55">
        <f t="shared" si="3"/>
        <v>0.3890991225435243</v>
      </c>
      <c r="Q30" s="55">
        <f t="shared" si="3"/>
        <v>0.40013857873694975</v>
      </c>
      <c r="R30" s="55">
        <f t="shared" si="3"/>
        <v>0.40917692101976444</v>
      </c>
      <c r="S30" s="55">
        <f t="shared" si="3"/>
        <v>0.41657688980354979</v>
      </c>
      <c r="T30" s="55">
        <f t="shared" si="3"/>
        <v>0.42263547181865191</v>
      </c>
      <c r="U30" s="55">
        <f t="shared" si="3"/>
        <v>0.42759581923446122</v>
      </c>
      <c r="V30" s="55">
        <f t="shared" si="3"/>
        <v>0.43165700820973518</v>
      </c>
      <c r="W30" s="55">
        <f t="shared" si="3"/>
        <v>0.43498202851785328</v>
      </c>
      <c r="X30" s="55">
        <f t="shared" si="3"/>
        <v>0.43770432489871836</v>
      </c>
      <c r="Y30" s="55">
        <f t="shared" si="3"/>
        <v>0.43993315266472549</v>
      </c>
      <c r="Z30" s="55">
        <f t="shared" si="3"/>
        <v>0.4417579625000696</v>
      </c>
      <c r="AA30" s="55">
        <f t="shared" si="3"/>
        <v>0.44325199043078506</v>
      </c>
      <c r="AB30" s="55">
        <f t="shared" si="3"/>
        <v>0.44447519704361921</v>
      </c>
      <c r="AC30" s="55">
        <f t="shared" si="3"/>
        <v>0.44547667391491497</v>
      </c>
      <c r="AD30" s="55">
        <f t="shared" si="3"/>
        <v>0.44629661382794095</v>
      </c>
      <c r="AE30" s="55">
        <f t="shared" si="3"/>
        <v>0.44696792385041156</v>
      </c>
      <c r="AF30" s="55">
        <f t="shared" si="3"/>
        <v>0.44751754601065763</v>
      </c>
      <c r="AG30" s="55">
        <f t="shared" si="3"/>
        <v>0.44796753857582433</v>
      </c>
      <c r="AH30" s="55">
        <f t="shared" si="3"/>
        <v>0.44833596132758269</v>
      </c>
      <c r="AI30" s="55">
        <f t="shared" si="3"/>
        <v>0.44863760036458089</v>
      </c>
      <c r="AJ30" s="55">
        <f t="shared" si="3"/>
        <v>0.4488845615205001</v>
      </c>
      <c r="AK30" s="55">
        <f t="shared" si="3"/>
        <v>0.44908675621366695</v>
      </c>
      <c r="AL30" s="55">
        <f t="shared" si="3"/>
        <v>0.44925229922707177</v>
      </c>
      <c r="AM30" s="55">
        <f t="shared" si="3"/>
        <v>0.44938783438310348</v>
      </c>
      <c r="AN30" s="55">
        <f t="shared" si="3"/>
        <v>0.4494988011834698</v>
      </c>
      <c r="AO30" s="55">
        <f t="shared" si="3"/>
        <v>0.44958965311550048</v>
      </c>
      <c r="AP30" s="55">
        <f t="shared" si="3"/>
        <v>0.44966403638623048</v>
      </c>
      <c r="AQ30" s="55">
        <f t="shared" si="3"/>
        <v>0.44972493625749166</v>
      </c>
      <c r="AR30" s="55">
        <f t="shared" si="3"/>
        <v>0.44977479685495175</v>
      </c>
      <c r="AS30" s="55">
        <f t="shared" si="3"/>
        <v>0.44981561925945912</v>
      </c>
      <c r="AT30" s="55">
        <f t="shared" si="3"/>
        <v>0.44984904181744384</v>
      </c>
      <c r="AU30" s="55">
        <f t="shared" si="3"/>
        <v>0.44987640589351252</v>
      </c>
      <c r="AV30" s="55">
        <f t="shared" si="3"/>
        <v>0.44989880970411955</v>
      </c>
      <c r="AW30" s="55">
        <f t="shared" si="3"/>
        <v>0.44991715239284957</v>
      </c>
      <c r="AX30" s="55">
        <f t="shared" si="3"/>
        <v>0.44993217011620701</v>
      </c>
      <c r="AY30" s="55">
        <f t="shared" si="3"/>
        <v>0.44994446558816104</v>
      </c>
      <c r="AZ30" s="55">
        <f t="shared" si="3"/>
        <v>0.44995453226917326</v>
      </c>
      <c r="BA30" s="55">
        <f t="shared" si="3"/>
        <v>0.44996277417049951</v>
      </c>
      <c r="BB30" s="55">
        <f t="shared" si="3"/>
        <v>0.4499695220685791</v>
      </c>
      <c r="BC30" s="55">
        <f t="shared" si="3"/>
        <v>0.44997504678025552</v>
      </c>
      <c r="BD30" s="55"/>
      <c r="BE30" s="55"/>
      <c r="BL30" s="218"/>
    </row>
    <row r="31" spans="1:64" ht="15.75" x14ac:dyDescent="0.25">
      <c r="A31" s="55"/>
      <c r="B31" s="55"/>
      <c r="C31" s="55"/>
      <c r="D31" s="202" t="s">
        <v>544</v>
      </c>
      <c r="E31" s="14" t="s">
        <v>445</v>
      </c>
      <c r="F31" s="6">
        <v>0</v>
      </c>
      <c r="G31" s="46">
        <f>45*(1-EXP(-0.11*G$26))/100</f>
        <v>8.8866540916884687E-2</v>
      </c>
      <c r="H31" s="46">
        <f t="shared" ref="H31:BC31" si="4">45*(1-EXP(-0.11*H$26))/100</f>
        <v>0.16018361051258637</v>
      </c>
      <c r="I31" s="46">
        <f t="shared" si="4"/>
        <v>0.21741689947873538</v>
      </c>
      <c r="J31" s="46">
        <f t="shared" si="4"/>
        <v>0.26334768974328843</v>
      </c>
      <c r="K31" s="46">
        <f t="shared" si="4"/>
        <v>0.30020801233586419</v>
      </c>
      <c r="L31" s="46">
        <f t="shared" si="4"/>
        <v>0.32978911411536738</v>
      </c>
      <c r="M31" s="46">
        <f t="shared" si="4"/>
        <v>0.35352850435785987</v>
      </c>
      <c r="N31" s="46">
        <f t="shared" si="4"/>
        <v>0.3725798112796273</v>
      </c>
      <c r="O31" s="46">
        <f t="shared" si="4"/>
        <v>0.38786884321009824</v>
      </c>
      <c r="P31" s="46">
        <f t="shared" si="4"/>
        <v>0.40013857873694975</v>
      </c>
      <c r="Q31" s="46">
        <f t="shared" si="4"/>
        <v>0.40998527214327618</v>
      </c>
      <c r="R31" s="46">
        <f t="shared" si="4"/>
        <v>0.41788742869962625</v>
      </c>
      <c r="S31" s="46">
        <f t="shared" si="4"/>
        <v>0.42422905788053966</v>
      </c>
      <c r="T31" s="46">
        <f t="shared" si="4"/>
        <v>0.42931833450793006</v>
      </c>
      <c r="U31" s="46">
        <f t="shared" si="4"/>
        <v>0.43340257466944204</v>
      </c>
      <c r="V31" s="46">
        <f t="shared" si="4"/>
        <v>0.43668025417444861</v>
      </c>
      <c r="W31" s="46">
        <f t="shared" si="4"/>
        <v>0.43931065359091276</v>
      </c>
      <c r="X31" s="46">
        <f t="shared" si="4"/>
        <v>0.44142159856877478</v>
      </c>
      <c r="Y31" s="46">
        <f t="shared" si="4"/>
        <v>0.4431156715949735</v>
      </c>
      <c r="Z31" s="46">
        <f t="shared" si="4"/>
        <v>0.44447519704361921</v>
      </c>
      <c r="AA31" s="46">
        <f t="shared" si="4"/>
        <v>0.44556624177246573</v>
      </c>
      <c r="AB31" s="46">
        <f t="shared" si="4"/>
        <v>0.44644182567678292</v>
      </c>
      <c r="AC31" s="46">
        <f t="shared" si="4"/>
        <v>0.44714449821919089</v>
      </c>
      <c r="AD31" s="46">
        <f t="shared" si="4"/>
        <v>0.44770840614328533</v>
      </c>
      <c r="AE31" s="46">
        <f t="shared" si="4"/>
        <v>0.4481609528526912</v>
      </c>
      <c r="AF31" s="46">
        <f t="shared" si="4"/>
        <v>0.44852413009394537</v>
      </c>
      <c r="AG31" s="46">
        <f t="shared" si="4"/>
        <v>0.44881558665704413</v>
      </c>
      <c r="AH31" s="46">
        <f t="shared" si="4"/>
        <v>0.44904948602772032</v>
      </c>
      <c r="AI31" s="46">
        <f t="shared" si="4"/>
        <v>0.44923719466951956</v>
      </c>
      <c r="AJ31" s="46">
        <f t="shared" si="4"/>
        <v>0.44938783438310348</v>
      </c>
      <c r="AK31" s="46">
        <f t="shared" si="4"/>
        <v>0.44950872558497423</v>
      </c>
      <c r="AL31" s="46">
        <f t="shared" si="4"/>
        <v>0.44960574304698381</v>
      </c>
      <c r="AM31" s="46">
        <f t="shared" si="4"/>
        <v>0.44968360138397706</v>
      </c>
      <c r="AN31" s="46">
        <f t="shared" si="4"/>
        <v>0.44974608416299233</v>
      </c>
      <c r="AO31" s="46">
        <f t="shared" si="4"/>
        <v>0.44979622776770101</v>
      </c>
      <c r="AP31" s="46">
        <f t="shared" si="4"/>
        <v>0.44983646895307722</v>
      </c>
      <c r="AQ31" s="46">
        <f t="shared" si="4"/>
        <v>0.44986876326079395</v>
      </c>
      <c r="AR31" s="46">
        <f t="shared" si="4"/>
        <v>0.44989468004980387</v>
      </c>
      <c r="AS31" s="46">
        <f t="shared" si="4"/>
        <v>0.44991547876016719</v>
      </c>
      <c r="AT31" s="46">
        <f t="shared" si="4"/>
        <v>0.44993217011620701</v>
      </c>
      <c r="AU31" s="46">
        <f t="shared" si="4"/>
        <v>0.44994556524319257</v>
      </c>
      <c r="AV31" s="46">
        <f t="shared" si="4"/>
        <v>0.44995631508439948</v>
      </c>
      <c r="AW31" s="46">
        <f t="shared" si="4"/>
        <v>0.44996494203404319</v>
      </c>
      <c r="AX31" s="46">
        <f t="shared" si="4"/>
        <v>0.44997186532330136</v>
      </c>
      <c r="AY31" s="46">
        <f t="shared" si="4"/>
        <v>0.44997742139307478</v>
      </c>
      <c r="AZ31" s="46">
        <f t="shared" si="4"/>
        <v>0.44998188024351066</v>
      </c>
      <c r="BA31" s="46">
        <f t="shared" si="4"/>
        <v>0.44998545855480282</v>
      </c>
      <c r="BB31" s="46">
        <f t="shared" si="4"/>
        <v>0.44998833021687973</v>
      </c>
      <c r="BC31" s="46">
        <f t="shared" si="4"/>
        <v>0.44999063477967782</v>
      </c>
      <c r="BD31" s="53"/>
      <c r="BE31" s="46"/>
      <c r="BL31" s="21"/>
    </row>
    <row r="32" spans="1:64" s="220" customFormat="1" ht="15.75" x14ac:dyDescent="0.25">
      <c r="A32" s="223"/>
      <c r="B32" s="223"/>
      <c r="C32" s="223"/>
      <c r="D32" s="221" t="s">
        <v>545</v>
      </c>
      <c r="E32" s="222" t="s">
        <v>446</v>
      </c>
      <c r="F32" s="220">
        <v>0</v>
      </c>
      <c r="G32" s="223">
        <f>45*(1-EXP(-0.12*G$26))/100</f>
        <v>9.6017462520050945E-2</v>
      </c>
      <c r="H32" s="223">
        <f t="shared" ref="H32:BC32" si="5">45*(1-EXP(-0.12*H$26))/100</f>
        <v>0.17154747368723661</v>
      </c>
      <c r="I32" s="223">
        <f t="shared" si="5"/>
        <v>0.23096148481801271</v>
      </c>
      <c r="J32" s="219">
        <f t="shared" si="5"/>
        <v>0.27769820131119954</v>
      </c>
      <c r="K32" s="223">
        <f t="shared" si="5"/>
        <v>0.31446260463950898</v>
      </c>
      <c r="L32" s="223">
        <f t="shared" si="5"/>
        <v>0.34338250859304514</v>
      </c>
      <c r="M32" s="223">
        <f t="shared" si="5"/>
        <v>0.36613171078226547</v>
      </c>
      <c r="N32" s="223">
        <f t="shared" si="5"/>
        <v>0.38402686704134242</v>
      </c>
      <c r="O32" s="223">
        <f t="shared" si="5"/>
        <v>0.39810369553287189</v>
      </c>
      <c r="P32" s="223">
        <f t="shared" si="5"/>
        <v>0.40917692101976444</v>
      </c>
      <c r="Q32" s="223">
        <f t="shared" si="5"/>
        <v>0.41788742869962625</v>
      </c>
      <c r="R32" s="223">
        <f t="shared" si="5"/>
        <v>0.4247393567246398</v>
      </c>
      <c r="S32" s="223">
        <f t="shared" si="5"/>
        <v>0.43012927421113822</v>
      </c>
      <c r="T32" s="223">
        <f t="shared" si="5"/>
        <v>0.43436913347486766</v>
      </c>
      <c r="U32" s="223">
        <f t="shared" si="5"/>
        <v>0.43770432489871836</v>
      </c>
      <c r="V32" s="223">
        <f t="shared" si="5"/>
        <v>0.44032787939470952</v>
      </c>
      <c r="W32" s="223">
        <f t="shared" si="5"/>
        <v>0.44239164045628265</v>
      </c>
      <c r="X32" s="223">
        <f t="shared" si="5"/>
        <v>0.44401505240590033</v>
      </c>
      <c r="Y32" s="223">
        <f t="shared" si="5"/>
        <v>0.44529207347545791</v>
      </c>
      <c r="Z32" s="223">
        <f t="shared" si="5"/>
        <v>0.44629661382794095</v>
      </c>
      <c r="AA32" s="223">
        <f t="shared" si="5"/>
        <v>0.4470868132567698</v>
      </c>
      <c r="AB32" s="223">
        <f t="shared" si="5"/>
        <v>0.44770840614328533</v>
      </c>
      <c r="AC32" s="223">
        <f t="shared" si="5"/>
        <v>0.44819736842605928</v>
      </c>
      <c r="AD32" s="223">
        <f t="shared" si="5"/>
        <v>0.44858199978070007</v>
      </c>
      <c r="AE32" s="223">
        <f t="shared" si="5"/>
        <v>0.4488845615205001</v>
      </c>
      <c r="AF32" s="223">
        <f t="shared" si="5"/>
        <v>0.4491225650147197</v>
      </c>
      <c r="AG32" s="223">
        <f t="shared" si="5"/>
        <v>0.44930978519430398</v>
      </c>
      <c r="AH32" s="223">
        <f t="shared" si="5"/>
        <v>0.44945705780371886</v>
      </c>
      <c r="AI32" s="223">
        <f t="shared" si="5"/>
        <v>0.4495729065414566</v>
      </c>
      <c r="AJ32" s="223">
        <f t="shared" si="5"/>
        <v>0.44966403638623048</v>
      </c>
      <c r="AK32" s="223">
        <f t="shared" si="5"/>
        <v>0.44973572166110432</v>
      </c>
      <c r="AL32" s="223">
        <f t="shared" si="5"/>
        <v>0.44979211129554825</v>
      </c>
      <c r="AM32" s="223">
        <f t="shared" si="5"/>
        <v>0.44983646895307722</v>
      </c>
      <c r="AN32" s="223">
        <f t="shared" si="5"/>
        <v>0.44987136192234117</v>
      </c>
      <c r="AO32" s="223">
        <f t="shared" si="5"/>
        <v>0.44989880970411955</v>
      </c>
      <c r="AP32" s="223">
        <f t="shared" si="5"/>
        <v>0.44992040089399082</v>
      </c>
      <c r="AQ32" s="223">
        <f t="shared" si="5"/>
        <v>0.44993738512549725</v>
      </c>
      <c r="AR32" s="223">
        <f t="shared" si="5"/>
        <v>0.44995074539519891</v>
      </c>
      <c r="AS32" s="223">
        <f t="shared" si="5"/>
        <v>0.44996125495557765</v>
      </c>
      <c r="AT32" s="223">
        <f t="shared" si="5"/>
        <v>0.4499695220685791</v>
      </c>
      <c r="AU32" s="223">
        <f t="shared" si="5"/>
        <v>0.44997602520999663</v>
      </c>
      <c r="AV32" s="223">
        <f t="shared" si="5"/>
        <v>0.44998114076222018</v>
      </c>
      <c r="AW32" s="223">
        <f t="shared" si="5"/>
        <v>0.44998516479812389</v>
      </c>
      <c r="AX32" s="223">
        <f t="shared" si="5"/>
        <v>0.44998833021687973</v>
      </c>
      <c r="AY32" s="223">
        <f t="shared" si="5"/>
        <v>0.44999082022346498</v>
      </c>
      <c r="AZ32" s="223">
        <f t="shared" si="5"/>
        <v>0.44999277893201922</v>
      </c>
      <c r="BA32" s="223">
        <f t="shared" si="5"/>
        <v>0.4499943197067397</v>
      </c>
      <c r="BB32" s="223">
        <f t="shared" si="5"/>
        <v>0.44999553172306234</v>
      </c>
      <c r="BC32" s="223">
        <f t="shared" si="5"/>
        <v>0.44999648512886992</v>
      </c>
      <c r="BD32" s="223"/>
      <c r="BE32" s="223"/>
      <c r="BL32" s="224"/>
    </row>
    <row r="33" spans="1:65" x14ac:dyDescent="0.25">
      <c r="D33" s="14" t="s">
        <v>217</v>
      </c>
      <c r="F33" s="50">
        <f t="shared" ref="F33:L33" si="6">F26*0.52%</f>
        <v>0</v>
      </c>
      <c r="G33" s="50">
        <f t="shared" si="6"/>
        <v>1.04E-2</v>
      </c>
      <c r="H33" s="203">
        <f t="shared" si="6"/>
        <v>2.0799999999999999E-2</v>
      </c>
      <c r="I33" s="50">
        <f t="shared" si="6"/>
        <v>3.1199999999999999E-2</v>
      </c>
      <c r="J33" s="50">
        <f t="shared" si="6"/>
        <v>4.1599999999999998E-2</v>
      </c>
      <c r="K33" s="50">
        <f t="shared" si="6"/>
        <v>5.1999999999999998E-2</v>
      </c>
      <c r="L33" s="50">
        <f t="shared" si="6"/>
        <v>6.2399999999999997E-2</v>
      </c>
      <c r="M33" s="50">
        <f t="shared" ref="M33:BC33" si="7">M26*0.52%</f>
        <v>7.2800000000000004E-2</v>
      </c>
      <c r="N33" s="50">
        <f t="shared" si="7"/>
        <v>8.3199999999999996E-2</v>
      </c>
      <c r="O33" s="50">
        <f t="shared" si="7"/>
        <v>9.3599999999999989E-2</v>
      </c>
      <c r="P33" s="50">
        <f t="shared" si="7"/>
        <v>0.104</v>
      </c>
      <c r="Q33" s="50">
        <f t="shared" si="7"/>
        <v>0.1144</v>
      </c>
      <c r="R33" s="50">
        <f t="shared" si="7"/>
        <v>0.12479999999999999</v>
      </c>
      <c r="S33" s="50">
        <f t="shared" si="7"/>
        <v>0.13519999999999999</v>
      </c>
      <c r="T33" s="50">
        <f t="shared" si="7"/>
        <v>0.14560000000000001</v>
      </c>
      <c r="U33" s="50">
        <f t="shared" si="7"/>
        <v>0.156</v>
      </c>
      <c r="V33" s="50">
        <f t="shared" si="7"/>
        <v>0.16639999999999999</v>
      </c>
      <c r="W33" s="50">
        <f t="shared" si="7"/>
        <v>0.17679999999999998</v>
      </c>
      <c r="X33" s="50">
        <f t="shared" si="7"/>
        <v>0.18719999999999998</v>
      </c>
      <c r="Y33" s="50">
        <f t="shared" si="7"/>
        <v>0.1976</v>
      </c>
      <c r="Z33" s="50">
        <f t="shared" si="7"/>
        <v>0.20799999999999999</v>
      </c>
      <c r="AA33" s="50">
        <f t="shared" si="7"/>
        <v>0.21839999999999998</v>
      </c>
      <c r="AB33" s="50">
        <f t="shared" si="7"/>
        <v>0.2288</v>
      </c>
      <c r="AC33" s="50">
        <f t="shared" si="7"/>
        <v>0.2392</v>
      </c>
      <c r="AD33" s="50">
        <f t="shared" si="7"/>
        <v>0.24959999999999999</v>
      </c>
      <c r="AE33" s="50">
        <f t="shared" si="7"/>
        <v>0.26</v>
      </c>
      <c r="AF33" s="50">
        <f t="shared" si="7"/>
        <v>0.27039999999999997</v>
      </c>
      <c r="AG33" s="50">
        <f t="shared" si="7"/>
        <v>0.28079999999999999</v>
      </c>
      <c r="AH33" s="50">
        <f t="shared" si="7"/>
        <v>0.29120000000000001</v>
      </c>
      <c r="AI33" s="50">
        <f t="shared" si="7"/>
        <v>0.30159999999999998</v>
      </c>
      <c r="AJ33" s="50">
        <f t="shared" si="7"/>
        <v>0.312</v>
      </c>
      <c r="AK33" s="50">
        <f t="shared" si="7"/>
        <v>0.32239999999999996</v>
      </c>
      <c r="AL33" s="50">
        <f t="shared" si="7"/>
        <v>0.33279999999999998</v>
      </c>
      <c r="AM33" s="50">
        <f t="shared" si="7"/>
        <v>0.34320000000000001</v>
      </c>
      <c r="AN33" s="50">
        <f t="shared" si="7"/>
        <v>0.35359999999999997</v>
      </c>
      <c r="AO33" s="50">
        <f t="shared" si="7"/>
        <v>0.36399999999999999</v>
      </c>
      <c r="AP33" s="50">
        <f t="shared" si="7"/>
        <v>0.37439999999999996</v>
      </c>
      <c r="AQ33" s="50">
        <f t="shared" si="7"/>
        <v>0.38479999999999998</v>
      </c>
      <c r="AR33" s="50">
        <f t="shared" si="7"/>
        <v>0.3952</v>
      </c>
      <c r="AS33" s="50">
        <f t="shared" si="7"/>
        <v>0.40559999999999996</v>
      </c>
      <c r="AT33" s="50">
        <f t="shared" si="7"/>
        <v>0.41599999999999998</v>
      </c>
      <c r="AU33" s="50">
        <f t="shared" si="7"/>
        <v>0.4264</v>
      </c>
      <c r="AV33" s="50">
        <f t="shared" si="7"/>
        <v>0.43679999999999997</v>
      </c>
      <c r="AW33" s="50">
        <f t="shared" si="7"/>
        <v>0.44719999999999999</v>
      </c>
      <c r="AX33" s="50">
        <f t="shared" si="7"/>
        <v>0.45760000000000001</v>
      </c>
      <c r="AY33" s="50">
        <f t="shared" si="7"/>
        <v>0.46799999999999997</v>
      </c>
      <c r="AZ33" s="50">
        <f t="shared" si="7"/>
        <v>0.47839999999999999</v>
      </c>
      <c r="BA33" s="50">
        <f t="shared" si="7"/>
        <v>0.48879999999999996</v>
      </c>
      <c r="BB33" s="50">
        <f t="shared" si="7"/>
        <v>0.49919999999999998</v>
      </c>
      <c r="BC33" s="50">
        <f t="shared" si="7"/>
        <v>0.50959999999999994</v>
      </c>
      <c r="BD33" s="18"/>
      <c r="BL33" s="21"/>
    </row>
    <row r="39" spans="1:65" ht="15.75" x14ac:dyDescent="0.25">
      <c r="A39" s="6" t="s">
        <v>464</v>
      </c>
      <c r="B39" s="243" t="s">
        <v>463</v>
      </c>
      <c r="C39" s="204" t="s">
        <v>461</v>
      </c>
      <c r="D39" s="205"/>
      <c r="E39" s="19">
        <v>1960</v>
      </c>
      <c r="F39" s="19">
        <v>1961</v>
      </c>
      <c r="G39" s="19">
        <v>1962</v>
      </c>
      <c r="H39" s="19">
        <v>1963</v>
      </c>
      <c r="I39" s="19">
        <v>1964</v>
      </c>
      <c r="J39" s="19">
        <v>1965</v>
      </c>
      <c r="K39" s="19">
        <v>1966</v>
      </c>
      <c r="L39" s="19">
        <v>1967</v>
      </c>
      <c r="M39" s="19">
        <v>1968</v>
      </c>
      <c r="N39" s="19">
        <v>1969</v>
      </c>
      <c r="O39" s="19">
        <v>1970</v>
      </c>
      <c r="P39" s="19">
        <v>1971</v>
      </c>
      <c r="Q39" s="19">
        <v>1972</v>
      </c>
      <c r="R39" s="19">
        <v>1973</v>
      </c>
      <c r="S39" s="19">
        <v>1974</v>
      </c>
      <c r="T39" s="19">
        <v>1975</v>
      </c>
      <c r="U39" s="19">
        <v>1976</v>
      </c>
      <c r="V39" s="19">
        <v>1977</v>
      </c>
      <c r="W39" s="19">
        <v>1978</v>
      </c>
      <c r="X39" s="19">
        <v>1979</v>
      </c>
      <c r="Y39" s="19">
        <v>1980</v>
      </c>
      <c r="Z39" s="19">
        <v>1981</v>
      </c>
      <c r="AA39" s="19">
        <v>1982</v>
      </c>
      <c r="AB39" s="19">
        <v>1983</v>
      </c>
      <c r="AC39" s="19">
        <v>1984</v>
      </c>
      <c r="AD39" s="19">
        <v>1985</v>
      </c>
      <c r="AE39" s="19">
        <v>1986</v>
      </c>
      <c r="AF39" s="19">
        <v>1987</v>
      </c>
      <c r="AG39" s="19">
        <v>1988</v>
      </c>
      <c r="AH39" s="19">
        <v>1989</v>
      </c>
      <c r="AI39" s="19">
        <v>1990</v>
      </c>
      <c r="AJ39" s="19">
        <v>1991</v>
      </c>
      <c r="AK39" s="19">
        <v>1992</v>
      </c>
      <c r="AL39" s="19">
        <v>1993</v>
      </c>
      <c r="AM39" s="19">
        <v>1994</v>
      </c>
      <c r="AN39" s="19">
        <v>1995</v>
      </c>
      <c r="AO39" s="19">
        <v>1996</v>
      </c>
      <c r="AP39" s="19">
        <v>1997</v>
      </c>
      <c r="AQ39" s="19">
        <v>1998</v>
      </c>
      <c r="AR39" s="19">
        <v>1999</v>
      </c>
      <c r="AS39" s="19">
        <v>2000</v>
      </c>
      <c r="AT39" s="19">
        <v>2001</v>
      </c>
      <c r="AU39" s="19">
        <v>2002</v>
      </c>
      <c r="AV39" s="19">
        <v>2003</v>
      </c>
      <c r="AW39" s="19">
        <v>2004</v>
      </c>
      <c r="AX39" s="19">
        <v>2005</v>
      </c>
      <c r="AY39" s="19">
        <v>2006</v>
      </c>
      <c r="AZ39" s="19">
        <v>2007</v>
      </c>
      <c r="BA39" s="19">
        <v>2008</v>
      </c>
      <c r="BB39" s="19">
        <v>2009</v>
      </c>
      <c r="BC39" s="19">
        <v>2010</v>
      </c>
      <c r="BD39" s="19">
        <v>2011</v>
      </c>
      <c r="BE39" s="19">
        <v>2012</v>
      </c>
      <c r="BF39" s="19">
        <v>2013</v>
      </c>
      <c r="BG39" s="19">
        <v>2014</v>
      </c>
      <c r="BH39" s="19">
        <v>2015</v>
      </c>
      <c r="BI39" s="19">
        <v>2016</v>
      </c>
      <c r="BJ39" s="19">
        <v>2017</v>
      </c>
      <c r="BK39" s="19">
        <v>2018</v>
      </c>
      <c r="BL39" s="33">
        <v>2019</v>
      </c>
      <c r="BM39" s="19">
        <v>2020</v>
      </c>
    </row>
    <row r="40" spans="1:65" ht="15.75" x14ac:dyDescent="0.25">
      <c r="A40" s="6" t="s">
        <v>504</v>
      </c>
      <c r="B40" s="243"/>
      <c r="C40" s="206" t="str">
        <f>C48</f>
        <v>HDVs diesel - lower bound</v>
      </c>
      <c r="D40" s="6" t="s">
        <v>447</v>
      </c>
      <c r="E40" s="207">
        <f>45*(1-EXP(-0.12*E48))/100</f>
        <v>0.24543710366392282</v>
      </c>
      <c r="F40" s="207">
        <f t="shared" ref="F40:BK40" si="8">45*(1-EXP(-0.12*F48))/100</f>
        <v>0.24588792616053645</v>
      </c>
      <c r="G40" s="207">
        <f t="shared" si="8"/>
        <v>0.24634027708480746</v>
      </c>
      <c r="H40" s="207">
        <f t="shared" si="8"/>
        <v>0.24679416310367844</v>
      </c>
      <c r="I40" s="207">
        <f t="shared" si="8"/>
        <v>0.24724959090916127</v>
      </c>
      <c r="J40" s="207">
        <f t="shared" si="8"/>
        <v>0.24770656721820902</v>
      </c>
      <c r="K40" s="207">
        <f t="shared" si="8"/>
        <v>0.24816509877258114</v>
      </c>
      <c r="L40" s="207">
        <f t="shared" si="8"/>
        <v>0.24862519233870026</v>
      </c>
      <c r="M40" s="207">
        <f t="shared" si="8"/>
        <v>0.24908685470750211</v>
      </c>
      <c r="N40" s="207">
        <f t="shared" si="8"/>
        <v>0.24955009269427655</v>
      </c>
      <c r="O40" s="207">
        <f t="shared" si="8"/>
        <v>0.25001491313850133</v>
      </c>
      <c r="P40" s="207">
        <f t="shared" si="8"/>
        <v>0.25048132290366643</v>
      </c>
      <c r="Q40" s="207">
        <f t="shared" si="8"/>
        <v>0.25094932887709087</v>
      </c>
      <c r="R40" s="207">
        <f t="shared" si="8"/>
        <v>0.25141893796972942</v>
      </c>
      <c r="S40" s="207">
        <f t="shared" si="8"/>
        <v>0.25189015711597146</v>
      </c>
      <c r="T40" s="207">
        <f t="shared" si="8"/>
        <v>0.25236299327342893</v>
      </c>
      <c r="U40" s="207">
        <f t="shared" si="8"/>
        <v>0.25283745342271619</v>
      </c>
      <c r="V40" s="207">
        <f t="shared" si="8"/>
        <v>0.25331354456721916</v>
      </c>
      <c r="W40" s="207">
        <f t="shared" si="8"/>
        <v>0.25379127373285387</v>
      </c>
      <c r="X40" s="207">
        <f t="shared" si="8"/>
        <v>0.25427064796781595</v>
      </c>
      <c r="Y40" s="207">
        <f t="shared" si="8"/>
        <v>0.25475167434231788</v>
      </c>
      <c r="Z40" s="207">
        <f t="shared" si="8"/>
        <v>0.25523435994831628</v>
      </c>
      <c r="AA40" s="207">
        <f t="shared" si="8"/>
        <v>0.25571871189922718</v>
      </c>
      <c r="AB40" s="207">
        <f t="shared" si="8"/>
        <v>0.25620473732963062</v>
      </c>
      <c r="AC40" s="207">
        <f t="shared" si="8"/>
        <v>0.25669244339496194</v>
      </c>
      <c r="AD40" s="207">
        <f t="shared" si="8"/>
        <v>0.25718183727119226</v>
      </c>
      <c r="AE40" s="207">
        <f t="shared" si="8"/>
        <v>0.2576729261544955</v>
      </c>
      <c r="AF40" s="207">
        <f t="shared" si="8"/>
        <v>0.25816571726090271</v>
      </c>
      <c r="AG40" s="207">
        <f t="shared" si="8"/>
        <v>0.25866021782594339</v>
      </c>
      <c r="AH40" s="207">
        <f t="shared" si="8"/>
        <v>0.25915643510427255</v>
      </c>
      <c r="AI40" s="207">
        <f t="shared" si="8"/>
        <v>0.25965437636928501</v>
      </c>
      <c r="AJ40" s="207">
        <f t="shared" si="8"/>
        <v>0.26015404891271393</v>
      </c>
      <c r="AK40" s="207">
        <f t="shared" si="8"/>
        <v>0.26065546004421597</v>
      </c>
      <c r="AL40" s="207">
        <f t="shared" si="8"/>
        <v>0.26115861709094002</v>
      </c>
      <c r="AM40" s="207">
        <f t="shared" si="8"/>
        <v>0.26166352739708182</v>
      </c>
      <c r="AN40" s="207">
        <f t="shared" si="8"/>
        <v>0.26217019832342148</v>
      </c>
      <c r="AO40" s="207">
        <f t="shared" si="8"/>
        <v>0.26267863724684543</v>
      </c>
      <c r="AP40" s="207">
        <f t="shared" si="8"/>
        <v>0.26318885155985117</v>
      </c>
      <c r="AQ40" s="207">
        <f t="shared" si="8"/>
        <v>0.26370084867003518</v>
      </c>
      <c r="AR40" s="207">
        <f t="shared" si="8"/>
        <v>0.26421463599956302</v>
      </c>
      <c r="AS40" s="207">
        <f t="shared" si="8"/>
        <v>0.26473022098462096</v>
      </c>
      <c r="AT40" s="207">
        <f t="shared" si="8"/>
        <v>0.26524761107484968</v>
      </c>
      <c r="AU40" s="207">
        <f t="shared" si="8"/>
        <v>0.26576681373275834</v>
      </c>
      <c r="AV40" s="207">
        <f t="shared" si="8"/>
        <v>0.26628783643311937</v>
      </c>
      <c r="AW40" s="207">
        <f t="shared" si="8"/>
        <v>0.26681068666234309</v>
      </c>
      <c r="AX40" s="207">
        <f t="shared" si="8"/>
        <v>0.26733537191783152</v>
      </c>
      <c r="AY40" s="207">
        <f t="shared" si="8"/>
        <v>0.26786189970731117</v>
      </c>
      <c r="AZ40" s="207">
        <f t="shared" si="8"/>
        <v>0.26839027754814437</v>
      </c>
      <c r="BA40" s="207">
        <f t="shared" si="8"/>
        <v>0.26892051296661768</v>
      </c>
      <c r="BB40" s="207">
        <f t="shared" si="8"/>
        <v>0.26945261349720817</v>
      </c>
      <c r="BC40" s="207">
        <f t="shared" si="8"/>
        <v>0.26998658668182551</v>
      </c>
      <c r="BD40" s="207">
        <f t="shared" si="8"/>
        <v>0.27052244006903059</v>
      </c>
      <c r="BE40" s="207">
        <f t="shared" si="8"/>
        <v>0.27106018121322889</v>
      </c>
      <c r="BF40" s="207">
        <f t="shared" si="8"/>
        <v>0.27159981767383906</v>
      </c>
      <c r="BG40" s="207">
        <f t="shared" si="8"/>
        <v>0.27214135701443504</v>
      </c>
      <c r="BH40" s="207">
        <f t="shared" si="8"/>
        <v>0.27268480680186147</v>
      </c>
      <c r="BI40" s="207">
        <f t="shared" si="8"/>
        <v>0.27323017460532212</v>
      </c>
      <c r="BJ40" s="207">
        <f t="shared" si="8"/>
        <v>0.27377746799543984</v>
      </c>
      <c r="BK40" s="207">
        <f t="shared" si="8"/>
        <v>0.27432669454328762</v>
      </c>
      <c r="BL40" s="207">
        <f t="shared" ref="BL40:BM40" si="9">45*(1-EXP(-0.12*BL48))/100</f>
        <v>0.27487786181939067</v>
      </c>
      <c r="BM40" s="207">
        <f t="shared" si="9"/>
        <v>0.27543097739269712</v>
      </c>
    </row>
    <row r="41" spans="1:65" ht="15.75" x14ac:dyDescent="0.25">
      <c r="A41" s="6" t="s">
        <v>548</v>
      </c>
      <c r="B41" s="243"/>
      <c r="C41" s="206" t="str">
        <f t="shared" ref="C41:C44" si="10">C49</f>
        <v>HDVs diesel - middle bound</v>
      </c>
      <c r="D41" s="6" t="s">
        <v>447</v>
      </c>
      <c r="E41" s="207">
        <f>45*(1-EXP(-0.12*E49))/100</f>
        <v>0.31512404452781795</v>
      </c>
      <c r="F41" s="207">
        <f t="shared" ref="F41:BK41" si="11">45*(1-EXP(-0.12*F49))/100</f>
        <v>0.31231197364851887</v>
      </c>
      <c r="G41" s="207">
        <f t="shared" si="11"/>
        <v>0.30969312869773225</v>
      </c>
      <c r="H41" s="207">
        <f t="shared" si="11"/>
        <v>0.30725759686320681</v>
      </c>
      <c r="I41" s="207">
        <f t="shared" si="11"/>
        <v>0.3049960721601444</v>
      </c>
      <c r="J41" s="207">
        <f t="shared" si="11"/>
        <v>0.30289980368592373</v>
      </c>
      <c r="K41" s="207">
        <f t="shared" si="11"/>
        <v>0.30096056823702894</v>
      </c>
      <c r="L41" s="207">
        <f t="shared" si="11"/>
        <v>0.29917064037524022</v>
      </c>
      <c r="M41" s="207">
        <f t="shared" si="11"/>
        <v>0.29752276132833388</v>
      </c>
      <c r="N41" s="207">
        <f t="shared" si="11"/>
        <v>0.29601010768833513</v>
      </c>
      <c r="O41" s="207">
        <f t="shared" si="11"/>
        <v>0.29462626056442587</v>
      </c>
      <c r="P41" s="207">
        <f t="shared" si="11"/>
        <v>0.29336517562641906</v>
      </c>
      <c r="Q41" s="207">
        <f t="shared" si="11"/>
        <v>0.29222115431539758</v>
      </c>
      <c r="R41" s="207">
        <f t="shared" si="11"/>
        <v>0.29118881638405425</v>
      </c>
      <c r="S41" s="207">
        <f t="shared" si="11"/>
        <v>0.29026307384831601</v>
      </c>
      <c r="T41" s="207">
        <f t="shared" si="11"/>
        <v>0.28943910637510673</v>
      </c>
      <c r="U41" s="207">
        <f t="shared" si="11"/>
        <v>0.28871233809209373</v>
      </c>
      <c r="V41" s="207">
        <f t="shared" si="11"/>
        <v>0.28807841577918303</v>
      </c>
      <c r="W41" s="207">
        <f t="shared" si="11"/>
        <v>0.28753318838485986</v>
      </c>
      <c r="X41" s="207">
        <f t="shared" si="11"/>
        <v>0.28707268780062284</v>
      </c>
      <c r="Y41" s="207">
        <f t="shared" si="11"/>
        <v>0.28669311082182447</v>
      </c>
      <c r="Z41" s="207">
        <f t="shared" si="11"/>
        <v>0.28639080222179691</v>
      </c>
      <c r="AA41" s="207">
        <f t="shared" si="11"/>
        <v>0.28616223886717956</v>
      </c>
      <c r="AB41" s="207">
        <f t="shared" si="11"/>
        <v>0.2860040148051135</v>
      </c>
      <c r="AC41" s="207">
        <f t="shared" si="11"/>
        <v>0.28591282725686962</v>
      </c>
      <c r="AD41" s="207">
        <f t="shared" si="11"/>
        <v>0.28588546345712496</v>
      </c>
      <c r="AE41" s="207">
        <f t="shared" si="11"/>
        <v>0.28591878828319883</v>
      </c>
      <c r="AF41" s="207">
        <f t="shared" si="11"/>
        <v>0.28600973262390073</v>
      </c>
      <c r="AG41" s="207">
        <f t="shared" si="11"/>
        <v>0.28615528244305727</v>
      </c>
      <c r="AH41" s="207">
        <f t="shared" si="11"/>
        <v>0.28635246849817902</v>
      </c>
      <c r="AI41" s="207">
        <f t="shared" si="11"/>
        <v>0.28659835668001549</v>
      </c>
      <c r="AJ41" s="207">
        <f t="shared" si="11"/>
        <v>0.28689003894386689</v>
      </c>
      <c r="AK41" s="207">
        <f t="shared" si="11"/>
        <v>0.28722462480845024</v>
      </c>
      <c r="AL41" s="207">
        <f t="shared" si="11"/>
        <v>0.2875992334028013</v>
      </c>
      <c r="AM41" s="207">
        <f t="shared" si="11"/>
        <v>0.28801098604613845</v>
      </c>
      <c r="AN41" s="207">
        <f t="shared" si="11"/>
        <v>0.28845699934977886</v>
      </c>
      <c r="AO41" s="207">
        <f t="shared" si="11"/>
        <v>0.28893437883408096</v>
      </c>
      <c r="AP41" s="207">
        <f t="shared" si="11"/>
        <v>0.28944021305697287</v>
      </c>
      <c r="AQ41" s="207">
        <f t="shared" si="11"/>
        <v>0.28997156825390069</v>
      </c>
      <c r="AR41" s="207">
        <f t="shared" si="11"/>
        <v>0.29052548349198315</v>
      </c>
      <c r="AS41" s="207">
        <f t="shared" si="11"/>
        <v>0.29109896634377785</v>
      </c>
      <c r="AT41" s="207">
        <f t="shared" si="11"/>
        <v>0.29168898908834057</v>
      </c>
      <c r="AU41" s="207">
        <f t="shared" si="11"/>
        <v>0.29229248544918041</v>
      </c>
      <c r="AV41" s="207">
        <f t="shared" si="11"/>
        <v>0.29290634788027187</v>
      </c>
      <c r="AW41" s="207">
        <f t="shared" si="11"/>
        <v>0.29352742541247889</v>
      </c>
      <c r="AX41" s="207">
        <f t="shared" si="11"/>
        <v>0.29415252207357001</v>
      </c>
      <c r="AY41" s="207">
        <f t="shared" si="11"/>
        <v>0.29477839589545518</v>
      </c>
      <c r="AZ41" s="207">
        <f t="shared" si="11"/>
        <v>0.29540175852237238</v>
      </c>
      <c r="BA41" s="207">
        <f t="shared" si="11"/>
        <v>0.29601927543349282</v>
      </c>
      <c r="BB41" s="207">
        <f t="shared" si="11"/>
        <v>0.29662756679282276</v>
      </c>
      <c r="BC41" s="207">
        <f t="shared" si="11"/>
        <v>0.29722320893838222</v>
      </c>
      <c r="BD41" s="207">
        <f t="shared" si="11"/>
        <v>0.29780273652145406</v>
      </c>
      <c r="BE41" s="207">
        <f t="shared" si="11"/>
        <v>0.29836264530526935</v>
      </c>
      <c r="BF41" s="207">
        <f t="shared" si="11"/>
        <v>0.29889939563084361</v>
      </c>
      <c r="BG41" s="207">
        <f t="shared" si="11"/>
        <v>0.29940941655586806</v>
      </c>
      <c r="BH41" s="207">
        <f t="shared" si="11"/>
        <v>0.29988911067059976</v>
      </c>
      <c r="BI41" s="207">
        <f t="shared" si="11"/>
        <v>0.3003348595926425</v>
      </c>
      <c r="BJ41" s="207">
        <f t="shared" si="11"/>
        <v>0.30074303014038839</v>
      </c>
      <c r="BK41" s="207">
        <f t="shared" si="11"/>
        <v>0.30110998118271198</v>
      </c>
      <c r="BL41" s="207">
        <f t="shared" ref="BL41:BM41" si="12">45*(1-EXP(-0.12*BL49))/100</f>
        <v>0.30143207116029613</v>
      </c>
      <c r="BM41" s="207">
        <f t="shared" si="12"/>
        <v>0.30170566627169493</v>
      </c>
    </row>
    <row r="42" spans="1:65" ht="15.75" x14ac:dyDescent="0.25">
      <c r="A42" s="6" t="s">
        <v>505</v>
      </c>
      <c r="B42" s="243"/>
      <c r="C42" s="206" t="str">
        <f t="shared" si="10"/>
        <v>HDVs diesel - upper bound</v>
      </c>
      <c r="D42" s="6" t="s">
        <v>447</v>
      </c>
      <c r="E42" s="207">
        <f>45*(1-EXP(-0.12*E50))/100</f>
        <v>0.41502167545910412</v>
      </c>
      <c r="F42" s="207">
        <f t="shared" ref="F42:BK42" si="13">45*(1-EXP(-0.12*F50))/100</f>
        <v>0.40746431161349866</v>
      </c>
      <c r="G42" s="207">
        <f t="shared" si="13"/>
        <v>0.4000846216179641</v>
      </c>
      <c r="H42" s="207">
        <f t="shared" si="13"/>
        <v>0.39298793949462857</v>
      </c>
      <c r="I42" s="207">
        <f t="shared" si="13"/>
        <v>0.3862378346610621</v>
      </c>
      <c r="J42" s="207">
        <f t="shared" si="13"/>
        <v>0.37986901169689496</v>
      </c>
      <c r="K42" s="207">
        <f t="shared" si="13"/>
        <v>0.3738966440830685</v>
      </c>
      <c r="L42" s="207">
        <f t="shared" si="13"/>
        <v>0.36832293426126611</v>
      </c>
      <c r="M42" s="207">
        <f t="shared" si="13"/>
        <v>0.36314166179179347</v>
      </c>
      <c r="N42" s="207">
        <f t="shared" si="13"/>
        <v>0.3583413085883857</v>
      </c>
      <c r="O42" s="207">
        <f t="shared" si="13"/>
        <v>0.35390719066550858</v>
      </c>
      <c r="P42" s="207">
        <f t="shared" si="13"/>
        <v>0.34982290073402872</v>
      </c>
      <c r="Q42" s="207">
        <f t="shared" si="13"/>
        <v>0.34607127430975465</v>
      </c>
      <c r="R42" s="207">
        <f t="shared" si="13"/>
        <v>0.34263502696889409</v>
      </c>
      <c r="S42" s="207">
        <f t="shared" si="13"/>
        <v>0.33949716498762272</v>
      </c>
      <c r="T42" s="207">
        <f t="shared" si="13"/>
        <v>0.33664124014780605</v>
      </c>
      <c r="U42" s="207">
        <f t="shared" si="13"/>
        <v>0.3340514977541158</v>
      </c>
      <c r="V42" s="207">
        <f t="shared" si="13"/>
        <v>0.33171295188595634</v>
      </c>
      <c r="W42" s="207">
        <f t="shared" si="13"/>
        <v>0.32961141151002393</v>
      </c>
      <c r="X42" s="207">
        <f t="shared" si="13"/>
        <v>0.32773347386565932</v>
      </c>
      <c r="Y42" s="207">
        <f t="shared" si="13"/>
        <v>0.326066496517533</v>
      </c>
      <c r="Z42" s="207">
        <f t="shared" si="13"/>
        <v>0.32459855597152959</v>
      </c>
      <c r="AA42" s="207">
        <f t="shared" si="13"/>
        <v>0.32331839830522102</v>
      </c>
      <c r="AB42" s="207">
        <f t="shared" si="13"/>
        <v>0.3222153855541896</v>
      </c>
      <c r="AC42" s="207">
        <f t="shared" si="13"/>
        <v>0.32127944039871154</v>
      </c>
      <c r="AD42" s="207">
        <f t="shared" si="13"/>
        <v>0.32050099085874573</v>
      </c>
      <c r="AE42" s="207">
        <f t="shared" si="13"/>
        <v>0.31987091612208257</v>
      </c>
      <c r="AF42" s="207">
        <f t="shared" si="13"/>
        <v>0.31938049422628217</v>
      </c>
      <c r="AG42" s="207">
        <f t="shared" si="13"/>
        <v>0.31902135203727755</v>
      </c>
      <c r="AH42" s="207">
        <f t="shared" si="13"/>
        <v>0.31878541777928449</v>
      </c>
      <c r="AI42" s="207">
        <f t="shared" si="13"/>
        <v>0.3186648762457916</v>
      </c>
      <c r="AJ42" s="207">
        <f t="shared" si="13"/>
        <v>0.31865212674129878</v>
      </c>
      <c r="AK42" s="207">
        <f t="shared" si="13"/>
        <v>0.3187397437548608</v>
      </c>
      <c r="AL42" s="207">
        <f t="shared" si="13"/>
        <v>0.31892044033982819</v>
      </c>
      <c r="AM42" s="207">
        <f t="shared" si="13"/>
        <v>0.31918703416261118</v>
      </c>
      <c r="AN42" s="207">
        <f t="shared" si="13"/>
        <v>0.31953241618180639</v>
      </c>
      <c r="AO42" s="207">
        <f t="shared" si="13"/>
        <v>0.31994952192397969</v>
      </c>
      <c r="AP42" s="207">
        <f t="shared" si="13"/>
        <v>0.32043130533109326</v>
      </c>
      <c r="AQ42" s="207">
        <f t="shared" si="13"/>
        <v>0.32097071516497871</v>
      </c>
      <c r="AR42" s="207">
        <f t="shared" si="13"/>
        <v>0.32156067396489035</v>
      </c>
      <c r="AS42" s="207">
        <f t="shared" si="13"/>
        <v>0.32219405956389563</v>
      </c>
      <c r="AT42" s="207">
        <f t="shared" si="13"/>
        <v>0.32286368917782127</v>
      </c>
      <c r="AU42" s="207">
        <f t="shared" si="13"/>
        <v>0.32356230608609804</v>
      </c>
      <c r="AV42" s="207">
        <f t="shared" si="13"/>
        <v>0.32428256892675206</v>
      </c>
      <c r="AW42" s="207">
        <f t="shared" si="13"/>
        <v>0.32501704362780254</v>
      </c>
      <c r="AX42" s="207">
        <f t="shared" si="13"/>
        <v>0.32575819799449873</v>
      </c>
      <c r="AY42" s="207">
        <f t="shared" si="13"/>
        <v>0.32649839896638683</v>
      </c>
      <c r="AZ42" s="207">
        <f t="shared" si="13"/>
        <v>0.32722991255061729</v>
      </c>
      <c r="BA42" s="207">
        <f t="shared" si="13"/>
        <v>0.32794490642883795</v>
      </c>
      <c r="BB42" s="207">
        <f t="shared" si="13"/>
        <v>0.32863545522533116</v>
      </c>
      <c r="BC42" s="207">
        <f t="shared" si="13"/>
        <v>0.32929354841476582</v>
      </c>
      <c r="BD42" s="207">
        <f t="shared" si="13"/>
        <v>0.32991110084016995</v>
      </c>
      <c r="BE42" s="207">
        <f t="shared" si="13"/>
        <v>0.33047996580666095</v>
      </c>
      <c r="BF42" s="207">
        <f t="shared" si="13"/>
        <v>0.33099195071518112</v>
      </c>
      <c r="BG42" s="207">
        <f t="shared" si="13"/>
        <v>0.33143883520389222</v>
      </c>
      <c r="BH42" s="207">
        <f t="shared" si="13"/>
        <v>0.33181239177353516</v>
      </c>
      <c r="BI42" s="207">
        <f t="shared" si="13"/>
        <v>0.33210440888704307</v>
      </c>
      <c r="BJ42" s="207">
        <f t="shared" si="13"/>
        <v>0.33230671655243121</v>
      </c>
      <c r="BK42" s="207">
        <f t="shared" si="13"/>
        <v>0.33241121442011434</v>
      </c>
      <c r="BL42" s="207">
        <f t="shared" ref="BL42:BM42" si="14">45*(1-EXP(-0.12*BL50))/100</f>
        <v>0.33240990244910357</v>
      </c>
      <c r="BM42" s="207">
        <f t="shared" si="14"/>
        <v>0.332294914217872</v>
      </c>
    </row>
    <row r="43" spans="1:65" ht="15.75" x14ac:dyDescent="0.25">
      <c r="A43" s="6" t="s">
        <v>448</v>
      </c>
      <c r="B43" s="243"/>
      <c r="C43" s="206" t="str">
        <f t="shared" si="10"/>
        <v>UK - HDVs - gasoline (ECUK) #2</v>
      </c>
      <c r="D43" s="6" t="s">
        <v>447</v>
      </c>
      <c r="E43" s="207">
        <f>45*(1-EXP(-0.12*E51))/100</f>
        <v>0.40847889610190591</v>
      </c>
      <c r="F43" s="207">
        <f t="shared" ref="F43:BK43" si="15">45*(1-EXP(-0.12*F51))/100</f>
        <v>0.40328377269335225</v>
      </c>
      <c r="G43" s="207">
        <f t="shared" si="15"/>
        <v>0.3980164465105962</v>
      </c>
      <c r="H43" s="207">
        <f t="shared" si="15"/>
        <v>0.39262471679183719</v>
      </c>
      <c r="I43" s="207">
        <f t="shared" si="15"/>
        <v>0.38760258068221881</v>
      </c>
      <c r="J43" s="207">
        <f t="shared" si="15"/>
        <v>0.38173554814135985</v>
      </c>
      <c r="K43" s="207">
        <f t="shared" si="15"/>
        <v>0.37548899209667363</v>
      </c>
      <c r="L43" s="207">
        <f t="shared" si="15"/>
        <v>0.36867467349642047</v>
      </c>
      <c r="M43" s="207">
        <f t="shared" si="15"/>
        <v>0.36193549665508357</v>
      </c>
      <c r="N43" s="207">
        <f t="shared" si="15"/>
        <v>0.35474344509747707</v>
      </c>
      <c r="O43" s="207">
        <f t="shared" si="15"/>
        <v>0.34821292435925805</v>
      </c>
      <c r="P43" s="207">
        <f t="shared" si="15"/>
        <v>0.3474584861085151</v>
      </c>
      <c r="Q43" s="207">
        <f t="shared" si="15"/>
        <v>0.34855863919161711</v>
      </c>
      <c r="R43" s="207">
        <f t="shared" si="15"/>
        <v>0.34431077833841717</v>
      </c>
      <c r="S43" s="207">
        <f t="shared" si="15"/>
        <v>0.34337776633590539</v>
      </c>
      <c r="T43" s="207">
        <f t="shared" si="15"/>
        <v>0.34246965147055791</v>
      </c>
      <c r="U43" s="207">
        <f t="shared" si="15"/>
        <v>0.3437177819105211</v>
      </c>
      <c r="V43" s="207">
        <f t="shared" si="15"/>
        <v>0.33794011347286768</v>
      </c>
      <c r="W43" s="207">
        <f t="shared" si="15"/>
        <v>0.33909376668055474</v>
      </c>
      <c r="X43" s="207">
        <f t="shared" si="15"/>
        <v>0.33509502623138315</v>
      </c>
      <c r="Y43" s="207">
        <f t="shared" si="15"/>
        <v>0.34193196201132975</v>
      </c>
      <c r="Z43" s="207">
        <f t="shared" si="15"/>
        <v>0.3456378159568152</v>
      </c>
      <c r="AA43" s="207">
        <f t="shared" si="15"/>
        <v>0.33764877793738435</v>
      </c>
      <c r="AB43" s="207">
        <f t="shared" si="15"/>
        <v>0.32943862877797686</v>
      </c>
      <c r="AC43" s="207">
        <f t="shared" si="15"/>
        <v>0.3217459637926689</v>
      </c>
      <c r="AD43" s="207">
        <f t="shared" si="15"/>
        <v>0.31272521955649496</v>
      </c>
      <c r="AE43" s="207">
        <f t="shared" si="15"/>
        <v>0.29933764538802471</v>
      </c>
      <c r="AF43" s="207">
        <f t="shared" si="15"/>
        <v>0.30587617418968793</v>
      </c>
      <c r="AG43" s="207">
        <f t="shared" si="15"/>
        <v>0.30262283165025372</v>
      </c>
      <c r="AH43" s="207">
        <f t="shared" si="15"/>
        <v>0.30992331558731889</v>
      </c>
      <c r="AI43" s="207">
        <f t="shared" si="15"/>
        <v>0.30857478815076761</v>
      </c>
      <c r="AJ43" s="207">
        <f t="shared" si="15"/>
        <v>0.31243728350772565</v>
      </c>
      <c r="AK43" s="207">
        <f t="shared" si="15"/>
        <v>0.30887757901089768</v>
      </c>
      <c r="AL43" s="207">
        <f t="shared" si="15"/>
        <v>0.3098511756906307</v>
      </c>
      <c r="AM43" s="207">
        <f t="shared" si="15"/>
        <v>0.30804929852529261</v>
      </c>
      <c r="AN43" s="207">
        <f t="shared" si="15"/>
        <v>0.31394635340968907</v>
      </c>
      <c r="AO43" s="207">
        <f t="shared" si="15"/>
        <v>0.3149028149854482</v>
      </c>
      <c r="AP43" s="207">
        <f t="shared" si="15"/>
        <v>0.31864719750020742</v>
      </c>
      <c r="AQ43" s="207">
        <f t="shared" si="15"/>
        <v>0.32565510549951848</v>
      </c>
      <c r="AR43" s="207">
        <f t="shared" si="15"/>
        <v>0.33123769052821955</v>
      </c>
      <c r="AS43" s="207">
        <f t="shared" si="15"/>
        <v>0.33445303251308206</v>
      </c>
      <c r="AT43" s="207">
        <f t="shared" si="15"/>
        <v>0.33458266422462046</v>
      </c>
      <c r="AU43" s="207">
        <f t="shared" si="15"/>
        <v>0.3330543485233578</v>
      </c>
      <c r="AV43" s="207">
        <f t="shared" si="15"/>
        <v>0.33239397727797582</v>
      </c>
      <c r="AW43" s="207">
        <f t="shared" si="15"/>
        <v>0.33438792382800453</v>
      </c>
      <c r="AX43" s="207">
        <f t="shared" si="15"/>
        <v>0.33150413747672114</v>
      </c>
      <c r="AY43" s="207">
        <f t="shared" si="15"/>
        <v>0.3316496489590835</v>
      </c>
      <c r="AZ43" s="207">
        <f t="shared" si="15"/>
        <v>0.33220254056592907</v>
      </c>
      <c r="BA43" s="207">
        <f t="shared" si="15"/>
        <v>0.33980075148255395</v>
      </c>
      <c r="BB43" s="207">
        <f t="shared" si="15"/>
        <v>0.33892044450566411</v>
      </c>
      <c r="BC43" s="207">
        <f t="shared" si="15"/>
        <v>0.3362443812563049</v>
      </c>
      <c r="BD43" s="207">
        <f t="shared" si="15"/>
        <v>0.33710835035903358</v>
      </c>
      <c r="BE43" s="207">
        <f t="shared" si="15"/>
        <v>0.33310714274844133</v>
      </c>
      <c r="BF43" s="207">
        <f t="shared" si="15"/>
        <v>0.33481175675792424</v>
      </c>
      <c r="BG43" s="207">
        <f t="shared" si="15"/>
        <v>0.3347908863263479</v>
      </c>
      <c r="BH43" s="207">
        <f t="shared" si="15"/>
        <v>0.33293278873356619</v>
      </c>
      <c r="BI43" s="207">
        <f t="shared" si="15"/>
        <v>0.3296142687184262</v>
      </c>
      <c r="BJ43" s="207">
        <f t="shared" si="15"/>
        <v>0.33077807570325118</v>
      </c>
      <c r="BK43" s="207">
        <f t="shared" si="15"/>
        <v>0.33242816814361281</v>
      </c>
      <c r="BL43" s="208">
        <f t="shared" ref="BL43:BM43" si="16">45*(1-EXP(-0.12*BL51))/100</f>
        <v>0.3319542598848727</v>
      </c>
      <c r="BM43" s="208">
        <f t="shared" si="16"/>
        <v>0.33148129071111027</v>
      </c>
    </row>
    <row r="44" spans="1:65" ht="15.75" x14ac:dyDescent="0.25">
      <c r="A44" s="6" t="s">
        <v>449</v>
      </c>
      <c r="B44" s="243"/>
      <c r="C44" s="206" t="str">
        <f t="shared" si="10"/>
        <v>US - HDVs - gasoline (Table 1.8)</v>
      </c>
      <c r="D44" s="6" t="s">
        <v>447</v>
      </c>
      <c r="E44" s="207">
        <f>45*(1-EXP(-0.12*E52))/100</f>
        <v>0.24923104497901463</v>
      </c>
      <c r="F44" s="207">
        <f t="shared" ref="F44:BK44" si="17">45*(1-EXP(-0.12*F52))/100</f>
        <v>0.24923104497901463</v>
      </c>
      <c r="G44" s="207">
        <f t="shared" si="17"/>
        <v>0.24923104497901463</v>
      </c>
      <c r="H44" s="207">
        <f t="shared" si="17"/>
        <v>0.24923104497901463</v>
      </c>
      <c r="I44" s="207">
        <f t="shared" si="17"/>
        <v>0.24923104497901463</v>
      </c>
      <c r="J44" s="207">
        <f t="shared" si="17"/>
        <v>0.24923104497901463</v>
      </c>
      <c r="K44" s="207">
        <f t="shared" si="17"/>
        <v>0.24923104497901463</v>
      </c>
      <c r="L44" s="207">
        <f t="shared" si="17"/>
        <v>0.24923104497901463</v>
      </c>
      <c r="M44" s="207">
        <f t="shared" si="17"/>
        <v>0.24631653613677873</v>
      </c>
      <c r="N44" s="207">
        <f t="shared" si="17"/>
        <v>0.24631653613677873</v>
      </c>
      <c r="O44" s="207">
        <f t="shared" si="17"/>
        <v>0.24631653613677873</v>
      </c>
      <c r="P44" s="207">
        <f t="shared" si="17"/>
        <v>0.24923104497901463</v>
      </c>
      <c r="Q44" s="207">
        <f t="shared" si="17"/>
        <v>0.24923104497901463</v>
      </c>
      <c r="R44" s="207">
        <f t="shared" si="17"/>
        <v>0.24631653613677873</v>
      </c>
      <c r="S44" s="207">
        <f t="shared" si="17"/>
        <v>0.24631653613677873</v>
      </c>
      <c r="T44" s="207">
        <f t="shared" si="17"/>
        <v>0.24923104497901463</v>
      </c>
      <c r="U44" s="207">
        <f t="shared" si="17"/>
        <v>0.24923104497901463</v>
      </c>
      <c r="V44" s="207">
        <f t="shared" si="17"/>
        <v>0.24923104497901463</v>
      </c>
      <c r="W44" s="207">
        <f t="shared" si="17"/>
        <v>0.24631653613677873</v>
      </c>
      <c r="X44" s="207">
        <f t="shared" si="17"/>
        <v>0.24631653613677873</v>
      </c>
      <c r="Y44" s="207">
        <f t="shared" si="17"/>
        <v>0.24335971815471297</v>
      </c>
      <c r="Z44" s="207">
        <f t="shared" si="17"/>
        <v>0.2403599768424306</v>
      </c>
      <c r="AA44" s="207">
        <f t="shared" si="17"/>
        <v>0.24631653613677873</v>
      </c>
      <c r="AB44" s="207">
        <f t="shared" si="17"/>
        <v>0.24923104497901463</v>
      </c>
      <c r="AC44" s="207">
        <f t="shared" si="17"/>
        <v>0.25210385008335079</v>
      </c>
      <c r="AD44" s="207">
        <f t="shared" si="17"/>
        <v>0.25493554818901454</v>
      </c>
      <c r="AE44" s="207">
        <f t="shared" si="17"/>
        <v>0.25493554818901454</v>
      </c>
      <c r="AF44" s="207">
        <f t="shared" si="17"/>
        <v>0.25772672749648551</v>
      </c>
      <c r="AG44" s="207">
        <f t="shared" si="17"/>
        <v>0.26047796778967608</v>
      </c>
      <c r="AH44" s="207">
        <f t="shared" si="17"/>
        <v>0.26318984055636491</v>
      </c>
      <c r="AI44" s="207">
        <f t="shared" si="17"/>
        <v>0.26047796778967608</v>
      </c>
      <c r="AJ44" s="207">
        <f t="shared" si="17"/>
        <v>0.26047796778967608</v>
      </c>
      <c r="AK44" s="207">
        <f t="shared" si="17"/>
        <v>0.26047796778967608</v>
      </c>
      <c r="AL44" s="207">
        <f t="shared" si="17"/>
        <v>0.26318984055636491</v>
      </c>
      <c r="AM44" s="207">
        <f t="shared" si="17"/>
        <v>0.26318984055636491</v>
      </c>
      <c r="AN44" s="207">
        <f t="shared" si="17"/>
        <v>0.26318984055636491</v>
      </c>
      <c r="AO44" s="207">
        <f t="shared" si="17"/>
        <v>0.26586290910690563</v>
      </c>
      <c r="AP44" s="207">
        <f t="shared" si="17"/>
        <v>0.2710948466142255</v>
      </c>
      <c r="AQ44" s="207">
        <f t="shared" si="17"/>
        <v>0.26318984055636491</v>
      </c>
      <c r="AR44" s="207">
        <f t="shared" si="17"/>
        <v>0.26047796778967608</v>
      </c>
      <c r="AS44" s="207">
        <f t="shared" si="17"/>
        <v>0.25493554818901454</v>
      </c>
      <c r="AT44" s="207">
        <f t="shared" si="17"/>
        <v>0.25772672749648551</v>
      </c>
      <c r="AU44" s="207">
        <f t="shared" si="17"/>
        <v>0.25493554818901454</v>
      </c>
      <c r="AV44" s="207">
        <f t="shared" si="17"/>
        <v>0.27866534666362858</v>
      </c>
      <c r="AW44" s="207">
        <f t="shared" si="17"/>
        <v>0.27866534666362858</v>
      </c>
      <c r="AX44" s="207">
        <f t="shared" si="17"/>
        <v>0.26047796778967608</v>
      </c>
      <c r="AY44" s="207">
        <f t="shared" si="17"/>
        <v>0.25772672749648551</v>
      </c>
      <c r="AZ44" s="207">
        <f t="shared" si="17"/>
        <v>0.2710948466142255</v>
      </c>
      <c r="BA44" s="207">
        <f t="shared" si="17"/>
        <v>0.27365480234933887</v>
      </c>
      <c r="BB44" s="207">
        <f t="shared" si="17"/>
        <v>0.27365480234933887</v>
      </c>
      <c r="BC44" s="207">
        <f t="shared" si="17"/>
        <v>0.2710948466142255</v>
      </c>
      <c r="BD44" s="207">
        <f t="shared" si="17"/>
        <v>0.26849772869123822</v>
      </c>
      <c r="BE44" s="207">
        <f t="shared" si="17"/>
        <v>0.2710948466142255</v>
      </c>
      <c r="BF44" s="207">
        <f t="shared" si="17"/>
        <v>0.2710948466142255</v>
      </c>
      <c r="BG44" s="207">
        <f t="shared" si="17"/>
        <v>0.26849772869123822</v>
      </c>
      <c r="BH44" s="207">
        <f t="shared" si="17"/>
        <v>0.2710948466142255</v>
      </c>
      <c r="BI44" s="207">
        <f t="shared" si="17"/>
        <v>0.2710948466142255</v>
      </c>
      <c r="BJ44" s="207">
        <f t="shared" si="17"/>
        <v>0.27365480234933887</v>
      </c>
      <c r="BK44" s="207">
        <f t="shared" si="17"/>
        <v>0.27617812765071842</v>
      </c>
      <c r="BL44" s="208">
        <f t="shared" ref="BL44:BM44" si="18">45*(1-EXP(-0.12*BL52))/100</f>
        <v>0.2772149115727004</v>
      </c>
      <c r="BM44" s="208">
        <f t="shared" si="18"/>
        <v>0.27825851754970865</v>
      </c>
    </row>
    <row r="47" spans="1:65" x14ac:dyDescent="0.25">
      <c r="D47" s="78"/>
      <c r="E47" s="19">
        <v>1960</v>
      </c>
      <c r="F47" s="19">
        <v>1961</v>
      </c>
      <c r="G47" s="19">
        <v>1962</v>
      </c>
      <c r="H47" s="19">
        <v>1963</v>
      </c>
      <c r="I47" s="19">
        <v>1964</v>
      </c>
      <c r="J47" s="19">
        <v>1965</v>
      </c>
      <c r="K47" s="19">
        <v>1966</v>
      </c>
      <c r="L47" s="19">
        <v>1967</v>
      </c>
      <c r="M47" s="19">
        <v>1968</v>
      </c>
      <c r="N47" s="19">
        <v>1969</v>
      </c>
      <c r="O47" s="19">
        <v>1970</v>
      </c>
      <c r="P47" s="19">
        <v>1971</v>
      </c>
      <c r="Q47" s="19">
        <v>1972</v>
      </c>
      <c r="R47" s="19">
        <v>1973</v>
      </c>
      <c r="S47" s="19">
        <v>1974</v>
      </c>
      <c r="T47" s="19">
        <v>1975</v>
      </c>
      <c r="U47" s="19">
        <v>1976</v>
      </c>
      <c r="V47" s="19">
        <v>1977</v>
      </c>
      <c r="W47" s="19">
        <v>1978</v>
      </c>
      <c r="X47" s="19">
        <v>1979</v>
      </c>
      <c r="Y47" s="19">
        <v>1980</v>
      </c>
      <c r="Z47" s="19">
        <v>1981</v>
      </c>
      <c r="AA47" s="19">
        <v>1982</v>
      </c>
      <c r="AB47" s="19">
        <v>1983</v>
      </c>
      <c r="AC47" s="19">
        <v>1984</v>
      </c>
      <c r="AD47" s="19">
        <v>1985</v>
      </c>
      <c r="AE47" s="19">
        <v>1986</v>
      </c>
      <c r="AF47" s="19">
        <v>1987</v>
      </c>
      <c r="AG47" s="19">
        <v>1988</v>
      </c>
      <c r="AH47" s="19">
        <v>1989</v>
      </c>
      <c r="AI47" s="19">
        <v>1990</v>
      </c>
      <c r="AJ47" s="19">
        <v>1991</v>
      </c>
      <c r="AK47" s="19">
        <v>1992</v>
      </c>
      <c r="AL47" s="19">
        <v>1993</v>
      </c>
      <c r="AM47" s="19">
        <v>1994</v>
      </c>
      <c r="AN47" s="19">
        <v>1995</v>
      </c>
      <c r="AO47" s="19">
        <v>1996</v>
      </c>
      <c r="AP47" s="19">
        <v>1997</v>
      </c>
      <c r="AQ47" s="19">
        <v>1998</v>
      </c>
      <c r="AR47" s="19">
        <v>1999</v>
      </c>
      <c r="AS47" s="19">
        <v>2000</v>
      </c>
      <c r="AT47" s="19">
        <v>2001</v>
      </c>
      <c r="AU47" s="19">
        <v>2002</v>
      </c>
      <c r="AV47" s="19">
        <v>2003</v>
      </c>
      <c r="AW47" s="19">
        <v>2004</v>
      </c>
      <c r="AX47" s="19">
        <v>2005</v>
      </c>
      <c r="AY47" s="19">
        <v>2006</v>
      </c>
      <c r="AZ47" s="19">
        <v>2007</v>
      </c>
      <c r="BA47" s="19">
        <v>2008</v>
      </c>
      <c r="BB47" s="19">
        <v>2009</v>
      </c>
      <c r="BC47" s="19">
        <v>2010</v>
      </c>
      <c r="BD47" s="19">
        <v>2011</v>
      </c>
      <c r="BE47" s="19">
        <v>2012</v>
      </c>
      <c r="BF47" s="19">
        <v>2013</v>
      </c>
      <c r="BG47" s="19">
        <v>2014</v>
      </c>
      <c r="BH47" s="19">
        <v>2015</v>
      </c>
      <c r="BI47" s="19">
        <v>2016</v>
      </c>
      <c r="BJ47" s="19">
        <v>2017</v>
      </c>
      <c r="BK47" s="19">
        <v>2018</v>
      </c>
      <c r="BL47" s="33">
        <v>2019</v>
      </c>
      <c r="BM47" s="19">
        <v>2020</v>
      </c>
    </row>
    <row r="48" spans="1:65" ht="15.75" x14ac:dyDescent="0.25">
      <c r="A48" s="6">
        <v>0.19</v>
      </c>
      <c r="C48" s="206" t="str">
        <f>C59</f>
        <v>HDVs diesel - lower bound</v>
      </c>
      <c r="D48" s="6" t="s">
        <v>447</v>
      </c>
      <c r="E48" s="209">
        <f>$E$54/E59</f>
        <v>6.5697674418604652</v>
      </c>
      <c r="F48" s="209">
        <f t="shared" ref="F48:BM52" si="19">$E$54/F59</f>
        <v>6.5881529850746263</v>
      </c>
      <c r="G48" s="209">
        <f t="shared" si="19"/>
        <v>6.6066417212347979</v>
      </c>
      <c r="H48" s="209">
        <f t="shared" si="19"/>
        <v>6.625234521575984</v>
      </c>
      <c r="I48" s="209">
        <f t="shared" si="19"/>
        <v>6.64393226716839</v>
      </c>
      <c r="J48" s="209">
        <f t="shared" si="19"/>
        <v>6.6627358490566015</v>
      </c>
      <c r="K48" s="209">
        <f t="shared" si="19"/>
        <v>6.6816461684011328</v>
      </c>
      <c r="L48" s="209">
        <f t="shared" si="19"/>
        <v>6.7006641366223878</v>
      </c>
      <c r="M48" s="209">
        <f t="shared" si="19"/>
        <v>6.7197906755470944</v>
      </c>
      <c r="N48" s="209">
        <f t="shared" si="19"/>
        <v>6.7390267175572482</v>
      </c>
      <c r="O48" s="209">
        <f t="shared" si="19"/>
        <v>6.7583732057416226</v>
      </c>
      <c r="P48" s="209">
        <f t="shared" si="19"/>
        <v>6.7778310940498994</v>
      </c>
      <c r="Q48" s="209">
        <f t="shared" si="19"/>
        <v>6.7974013474494654</v>
      </c>
      <c r="R48" s="209">
        <f t="shared" si="19"/>
        <v>6.8170849420849366</v>
      </c>
      <c r="S48" s="209">
        <f t="shared" si="19"/>
        <v>6.836882865440459</v>
      </c>
      <c r="T48" s="209">
        <f t="shared" si="19"/>
        <v>6.8567961165048477</v>
      </c>
      <c r="U48" s="209">
        <f t="shared" si="19"/>
        <v>6.8768257059396234</v>
      </c>
      <c r="V48" s="209">
        <f t="shared" si="19"/>
        <v>6.8969726562499929</v>
      </c>
      <c r="W48" s="209">
        <f t="shared" si="19"/>
        <v>6.9172380019588564</v>
      </c>
      <c r="X48" s="209">
        <f t="shared" si="19"/>
        <v>6.937622789783882</v>
      </c>
      <c r="Y48" s="209">
        <f t="shared" si="19"/>
        <v>6.9581280788177251</v>
      </c>
      <c r="Z48" s="209">
        <f t="shared" si="19"/>
        <v>6.9787549407114531</v>
      </c>
      <c r="AA48" s="209">
        <f t="shared" si="19"/>
        <v>6.9995044598612388</v>
      </c>
      <c r="AB48" s="209">
        <f t="shared" si="19"/>
        <v>7.0203777335983997</v>
      </c>
      <c r="AC48" s="209">
        <f t="shared" si="19"/>
        <v>7.041375872382841</v>
      </c>
      <c r="AD48" s="209">
        <f t="shared" si="19"/>
        <v>7.0624999999999885</v>
      </c>
      <c r="AE48" s="209">
        <f t="shared" si="19"/>
        <v>7.0837512537612719</v>
      </c>
      <c r="AF48" s="209">
        <f t="shared" si="19"/>
        <v>7.105130784708237</v>
      </c>
      <c r="AG48" s="209">
        <f t="shared" si="19"/>
        <v>7.1266397578203708</v>
      </c>
      <c r="AH48" s="209">
        <f t="shared" si="19"/>
        <v>7.148279352226707</v>
      </c>
      <c r="AI48" s="209">
        <f t="shared" si="19"/>
        <v>7.1700507614213063</v>
      </c>
      <c r="AJ48" s="209">
        <f t="shared" si="19"/>
        <v>7.1919551934826735</v>
      </c>
      <c r="AK48" s="209">
        <f t="shared" si="19"/>
        <v>7.2139938712972267</v>
      </c>
      <c r="AL48" s="209">
        <f t="shared" si="19"/>
        <v>7.2361680327868694</v>
      </c>
      <c r="AM48" s="209">
        <f t="shared" si="19"/>
        <v>7.2584789311407851</v>
      </c>
      <c r="AN48" s="209">
        <f t="shared" si="19"/>
        <v>7.2809278350515294</v>
      </c>
      <c r="AO48" s="209">
        <f t="shared" si="19"/>
        <v>7.3035160289555154</v>
      </c>
      <c r="AP48" s="209">
        <f t="shared" si="19"/>
        <v>7.3262448132779907</v>
      </c>
      <c r="AQ48" s="209">
        <f t="shared" si="19"/>
        <v>7.3491155046826036</v>
      </c>
      <c r="AR48" s="209">
        <f t="shared" si="19"/>
        <v>7.3721294363256593</v>
      </c>
      <c r="AS48" s="209">
        <f t="shared" si="19"/>
        <v>7.3952879581151638</v>
      </c>
      <c r="AT48" s="209">
        <f t="shared" si="19"/>
        <v>7.4185924369747696</v>
      </c>
      <c r="AU48" s="209">
        <f t="shared" si="19"/>
        <v>7.4420442571127294</v>
      </c>
      <c r="AV48" s="209">
        <f t="shared" si="19"/>
        <v>7.4656448202959611</v>
      </c>
      <c r="AW48" s="209">
        <f t="shared" si="19"/>
        <v>7.4893955461293524</v>
      </c>
      <c r="AX48" s="209">
        <f t="shared" si="19"/>
        <v>7.5132978723404023</v>
      </c>
      <c r="AY48" s="209">
        <f t="shared" si="19"/>
        <v>7.5373532550693465</v>
      </c>
      <c r="AZ48" s="209">
        <f t="shared" si="19"/>
        <v>7.5615631691648577</v>
      </c>
      <c r="BA48" s="209">
        <f t="shared" si="19"/>
        <v>7.5859291084854741</v>
      </c>
      <c r="BB48" s="209">
        <f t="shared" si="19"/>
        <v>7.610452586206871</v>
      </c>
      <c r="BC48" s="209">
        <f t="shared" si="19"/>
        <v>7.6351351351351084</v>
      </c>
      <c r="BD48" s="209">
        <f t="shared" si="19"/>
        <v>7.6599783080260035</v>
      </c>
      <c r="BE48" s="209">
        <f t="shared" si="19"/>
        <v>7.6849836779107452</v>
      </c>
      <c r="BF48" s="209">
        <f t="shared" si="19"/>
        <v>7.710152838427919</v>
      </c>
      <c r="BG48" s="209">
        <f t="shared" si="19"/>
        <v>7.7354874041620736</v>
      </c>
      <c r="BH48" s="209">
        <f t="shared" si="19"/>
        <v>7.7609890109889808</v>
      </c>
      <c r="BI48" s="209">
        <f t="shared" si="19"/>
        <v>7.7866593164277536</v>
      </c>
      <c r="BJ48" s="209">
        <f t="shared" si="19"/>
        <v>7.8124999999999689</v>
      </c>
      <c r="BK48" s="209">
        <f t="shared" si="19"/>
        <v>7.8385127635959719</v>
      </c>
      <c r="BL48" s="209">
        <f t="shared" si="19"/>
        <v>7.8646993318485192</v>
      </c>
      <c r="BM48" s="209">
        <f t="shared" si="19"/>
        <v>7.8910614525139327</v>
      </c>
    </row>
    <row r="49" spans="1:65" ht="15.75" x14ac:dyDescent="0.25">
      <c r="C49" s="206" t="str">
        <f t="shared" ref="C49:C50" si="20">C60</f>
        <v>HDVs diesel - middle bound</v>
      </c>
      <c r="D49" s="6" t="s">
        <v>447</v>
      </c>
      <c r="E49" s="209">
        <f t="shared" ref="E49:T51" si="21">$E$54/E60</f>
        <v>10.040767292333829</v>
      </c>
      <c r="F49" s="209">
        <f t="shared" si="21"/>
        <v>9.868809461760371</v>
      </c>
      <c r="G49" s="209">
        <f t="shared" si="21"/>
        <v>9.7117968422737153</v>
      </c>
      <c r="H49" s="209">
        <f t="shared" si="21"/>
        <v>9.5683829466690504</v>
      </c>
      <c r="I49" s="209">
        <f t="shared" si="21"/>
        <v>9.4373896013329244</v>
      </c>
      <c r="J49" s="209">
        <f t="shared" si="21"/>
        <v>9.3177801716318598</v>
      </c>
      <c r="K49" s="209">
        <f t="shared" si="21"/>
        <v>9.20863890938422</v>
      </c>
      <c r="L49" s="209">
        <f t="shared" si="21"/>
        <v>9.1091537805728979</v>
      </c>
      <c r="M49" s="209">
        <f t="shared" si="21"/>
        <v>9.0186021039041897</v>
      </c>
      <c r="N49" s="209">
        <f t="shared" si="21"/>
        <v>8.9363384737050193</v>
      </c>
      <c r="O49" s="209">
        <f t="shared" si="21"/>
        <v>8.8617845500981733</v>
      </c>
      <c r="P49" s="209">
        <f t="shared" si="21"/>
        <v>8.79442038387878</v>
      </c>
      <c r="Q49" s="209">
        <f t="shared" si="21"/>
        <v>8.7337770092053955</v>
      </c>
      <c r="R49" s="209">
        <f t="shared" si="21"/>
        <v>8.6794300886500046</v>
      </c>
      <c r="S49" s="209">
        <f t="shared" si="21"/>
        <v>8.6309944356819006</v>
      </c>
      <c r="T49" s="209">
        <f t="shared" si="21"/>
        <v>8.5881192718004407</v>
      </c>
      <c r="U49" s="209">
        <f t="shared" si="19"/>
        <v>8.5504841011693227</v>
      </c>
      <c r="V49" s="209">
        <f t="shared" si="19"/>
        <v>8.5177951061724251</v>
      </c>
      <c r="W49" s="209">
        <f t="shared" si="19"/>
        <v>8.4897819839012616</v>
      </c>
      <c r="X49" s="209">
        <f t="shared" si="19"/>
        <v>8.466195157036676</v>
      </c>
      <c r="Y49" s="209">
        <f t="shared" si="19"/>
        <v>8.4468033035522403</v>
      </c>
      <c r="Z49" s="209">
        <f t="shared" si="19"/>
        <v>8.4313911586492267</v>
      </c>
      <c r="AA49" s="209">
        <f t="shared" si="19"/>
        <v>8.419757549728347</v>
      </c>
      <c r="AB49" s="209">
        <f t="shared" si="19"/>
        <v>8.4117136313233694</v>
      </c>
      <c r="AC49" s="209">
        <f t="shared" si="19"/>
        <v>8.4070812920121494</v>
      </c>
      <c r="AD49" s="209">
        <f t="shared" si="19"/>
        <v>8.4056917095778392</v>
      </c>
      <c r="AE49" s="209">
        <f t="shared" si="19"/>
        <v>8.407384034273548</v>
      </c>
      <c r="AF49" s="209">
        <f t="shared" si="19"/>
        <v>8.4120041830737886</v>
      </c>
      <c r="AG49" s="209">
        <f t="shared" si="19"/>
        <v>8.419403730377006</v>
      </c>
      <c r="AH49" s="209">
        <f t="shared" si="19"/>
        <v>8.429438882838248</v>
      </c>
      <c r="AI49" s="209">
        <f t="shared" si="19"/>
        <v>8.4419695279265472</v>
      </c>
      <c r="AJ49" s="209">
        <f t="shared" si="19"/>
        <v>8.4568583474729895</v>
      </c>
      <c r="AK49" s="209">
        <f t="shared" si="19"/>
        <v>8.4739699889478324</v>
      </c>
      <c r="AL49" s="209">
        <f t="shared" si="19"/>
        <v>8.4931702885152394</v>
      </c>
      <c r="AM49" s="209">
        <f t="shared" si="19"/>
        <v>8.5143255410929104</v>
      </c>
      <c r="AN49" s="209">
        <f t="shared" si="19"/>
        <v>8.5373018137157608</v>
      </c>
      <c r="AO49" s="209">
        <f t="shared" si="19"/>
        <v>8.5619642994881051</v>
      </c>
      <c r="AP49" s="209">
        <f t="shared" si="19"/>
        <v>8.5881767103239799</v>
      </c>
      <c r="AQ49" s="209">
        <f t="shared" si="19"/>
        <v>8.6158007075325909</v>
      </c>
      <c r="AR49" s="209">
        <f t="shared" si="19"/>
        <v>8.6446953701153504</v>
      </c>
      <c r="AS49" s="209">
        <f t="shared" si="19"/>
        <v>8.6747167014090216</v>
      </c>
      <c r="AT49" s="209">
        <f t="shared" si="19"/>
        <v>8.7057171754400624</v>
      </c>
      <c r="AU49" s="209">
        <f t="shared" si="19"/>
        <v>8.7375453250498154</v>
      </c>
      <c r="AV49" s="209">
        <f t="shared" si="19"/>
        <v>8.7700453745073101</v>
      </c>
      <c r="AW49" s="209">
        <f t="shared" si="19"/>
        <v>8.8030569199428044</v>
      </c>
      <c r="AX49" s="209">
        <f t="shared" si="19"/>
        <v>8.8364146615043087</v>
      </c>
      <c r="AY49" s="209">
        <f t="shared" si="19"/>
        <v>8.8699481916530321</v>
      </c>
      <c r="AZ49" s="209">
        <f t="shared" si="19"/>
        <v>8.9034818444610391</v>
      </c>
      <c r="BA49" s="209">
        <f t="shared" si="19"/>
        <v>8.9368346111424906</v>
      </c>
      <c r="BB49" s="209">
        <f t="shared" si="19"/>
        <v>8.9698201273237999</v>
      </c>
      <c r="BC49" s="209">
        <f t="shared" si="19"/>
        <v>9.0022467377211974</v>
      </c>
      <c r="BD49" s="209">
        <f t="shared" si="19"/>
        <v>9.0339176439286746</v>
      </c>
      <c r="BE49" s="209">
        <f t="shared" si="19"/>
        <v>9.0646311409065419</v>
      </c>
      <c r="BF49" s="209">
        <f t="shared" si="19"/>
        <v>9.0941809474816484</v>
      </c>
      <c r="BG49" s="209">
        <f t="shared" si="19"/>
        <v>9.1223566357071419</v>
      </c>
      <c r="BH49" s="209">
        <f t="shared" si="19"/>
        <v>9.1489441632650728</v>
      </c>
      <c r="BI49" s="209">
        <f t="shared" si="19"/>
        <v>9.1737265122157279</v>
      </c>
      <c r="BJ49" s="209">
        <f t="shared" si="19"/>
        <v>9.1964844362929199</v>
      </c>
      <c r="BK49" s="209">
        <f t="shared" si="19"/>
        <v>9.21699731760906</v>
      </c>
      <c r="BL49" s="209">
        <f t="shared" si="19"/>
        <v>9.2350441320692784</v>
      </c>
      <c r="BM49" s="209">
        <f t="shared" si="19"/>
        <v>9.2504045210082992</v>
      </c>
    </row>
    <row r="50" spans="1:65" ht="15.75" x14ac:dyDescent="0.25">
      <c r="A50" s="6">
        <v>7.0000000000000007E-2</v>
      </c>
      <c r="C50" s="206" t="str">
        <f t="shared" si="20"/>
        <v>HDVs diesel - upper bound</v>
      </c>
      <c r="D50" s="6" t="s">
        <v>447</v>
      </c>
      <c r="E50" s="209">
        <f t="shared" si="21"/>
        <v>21.287658432926918</v>
      </c>
      <c r="F50" s="209">
        <f t="shared" si="19"/>
        <v>19.657534437216967</v>
      </c>
      <c r="G50" s="209">
        <f t="shared" si="19"/>
        <v>18.324320362309113</v>
      </c>
      <c r="H50" s="209">
        <f t="shared" si="19"/>
        <v>17.216539579148545</v>
      </c>
      <c r="I50" s="209">
        <f t="shared" si="19"/>
        <v>16.284063234043778</v>
      </c>
      <c r="J50" s="209">
        <f t="shared" si="19"/>
        <v>15.490690232256169</v>
      </c>
      <c r="K50" s="209">
        <f t="shared" si="19"/>
        <v>14.8096268341002</v>
      </c>
      <c r="L50" s="209">
        <f t="shared" si="19"/>
        <v>14.220619445149183</v>
      </c>
      <c r="M50" s="209">
        <f t="shared" si="19"/>
        <v>13.708075730688957</v>
      </c>
      <c r="N50" s="209">
        <f t="shared" si="19"/>
        <v>13.259798169443792</v>
      </c>
      <c r="O50" s="209">
        <f t="shared" si="19"/>
        <v>12.866109120090213</v>
      </c>
      <c r="P50" s="209">
        <f t="shared" si="19"/>
        <v>12.519233087291626</v>
      </c>
      <c r="Q50" s="209">
        <f t="shared" si="19"/>
        <v>12.212852070586393</v>
      </c>
      <c r="R50" s="209">
        <f t="shared" si="19"/>
        <v>11.941779912784847</v>
      </c>
      <c r="S50" s="209">
        <f t="shared" si="19"/>
        <v>11.7017200492922</v>
      </c>
      <c r="T50" s="209">
        <f t="shared" si="19"/>
        <v>11.489082727902732</v>
      </c>
      <c r="U50" s="209">
        <f t="shared" si="19"/>
        <v>11.300845303228682</v>
      </c>
      <c r="V50" s="209">
        <f t="shared" si="19"/>
        <v>11.134444176429504</v>
      </c>
      <c r="W50" s="209">
        <f t="shared" si="19"/>
        <v>10.987690286376157</v>
      </c>
      <c r="X50" s="209">
        <f t="shared" si="19"/>
        <v>10.85870233702337</v>
      </c>
      <c r="Y50" s="209">
        <f t="shared" si="19"/>
        <v>10.745853526979319</v>
      </c>
      <c r="Z50" s="209">
        <f t="shared" si="19"/>
        <v>10.647728660444121</v>
      </c>
      <c r="AA50" s="209">
        <f t="shared" si="19"/>
        <v>10.563089312883193</v>
      </c>
      <c r="AB50" s="209">
        <f t="shared" si="19"/>
        <v>10.490845298467333</v>
      </c>
      <c r="AC50" s="209">
        <f t="shared" si="19"/>
        <v>10.430031105490995</v>
      </c>
      <c r="AD50" s="209">
        <f t="shared" si="19"/>
        <v>10.379786275607758</v>
      </c>
      <c r="AE50" s="209">
        <f t="shared" si="19"/>
        <v>10.339338933778089</v>
      </c>
      <c r="AF50" s="209">
        <f t="shared" si="19"/>
        <v>10.307991849936071</v>
      </c>
      <c r="AG50" s="209">
        <f t="shared" si="19"/>
        <v>10.285110545824445</v>
      </c>
      <c r="AH50" s="209">
        <f t="shared" si="19"/>
        <v>10.270113062129637</v>
      </c>
      <c r="AI50" s="209">
        <f t="shared" si="19"/>
        <v>10.2624610798434</v>
      </c>
      <c r="AJ50" s="209">
        <f t="shared" si="19"/>
        <v>10.261652151423482</v>
      </c>
      <c r="AK50" s="209">
        <f t="shared" si="19"/>
        <v>10.267212846045959</v>
      </c>
      <c r="AL50" s="209">
        <f t="shared" si="19"/>
        <v>10.278692652171951</v>
      </c>
      <c r="AM50" s="209">
        <f t="shared" si="19"/>
        <v>10.295658512140674</v>
      </c>
      <c r="AN50" s="209">
        <f t="shared" si="19"/>
        <v>10.317689889321317</v>
      </c>
      <c r="AO50" s="209">
        <f t="shared" si="19"/>
        <v>10.344374289854128</v>
      </c>
      <c r="AP50" s="209">
        <f t="shared" si="19"/>
        <v>10.375303179213255</v>
      </c>
      <c r="AQ50" s="209">
        <f t="shared" si="19"/>
        <v>10.410068249512936</v>
      </c>
      <c r="AR50" s="209">
        <f t="shared" si="19"/>
        <v>10.448258007249057</v>
      </c>
      <c r="AS50" s="209">
        <f t="shared" si="19"/>
        <v>10.48945466346302</v>
      </c>
      <c r="AT50" s="209">
        <f t="shared" si="19"/>
        <v>10.533231319454076</v>
      </c>
      <c r="AU50" s="209">
        <f t="shared" si="19"/>
        <v>10.579149451363435</v>
      </c>
      <c r="AV50" s="209">
        <f t="shared" si="19"/>
        <v>10.626756706329859</v>
      </c>
      <c r="AW50" s="209">
        <f t="shared" si="19"/>
        <v>10.675585031507147</v>
      </c>
      <c r="AX50" s="209">
        <f t="shared" si="19"/>
        <v>10.725149164994935</v>
      </c>
      <c r="AY50" s="209">
        <f t="shared" si="19"/>
        <v>10.774945524545325</v>
      </c>
      <c r="AZ50" s="209">
        <f t="shared" si="19"/>
        <v>10.824451535577763</v>
      </c>
      <c r="BA50" s="209">
        <f t="shared" si="19"/>
        <v>10.873125444306693</v>
      </c>
      <c r="BB50" s="209">
        <f t="shared" si="19"/>
        <v>10.920406664347286</v>
      </c>
      <c r="BC50" s="209">
        <f t="shared" si="19"/>
        <v>10.965716705658039</v>
      </c>
      <c r="BD50" s="209">
        <f t="shared" si="19"/>
        <v>11.008460732723144</v>
      </c>
      <c r="BE50" s="209">
        <f t="shared" si="19"/>
        <v>11.0480297940921</v>
      </c>
      <c r="BF50" s="209">
        <f t="shared" si="19"/>
        <v>11.083803757429086</v>
      </c>
      <c r="BG50" s="209">
        <f t="shared" si="19"/>
        <v>11.115154972802292</v>
      </c>
      <c r="BH50" s="209">
        <f t="shared" si="19"/>
        <v>11.141452671897822</v>
      </c>
      <c r="BI50" s="209">
        <f t="shared" si="19"/>
        <v>11.162068092171419</v>
      </c>
      <c r="BJ50" s="209">
        <f t="shared" si="19"/>
        <v>11.176380292856772</v>
      </c>
      <c r="BK50" s="209">
        <f t="shared" si="19"/>
        <v>11.183782604685154</v>
      </c>
      <c r="BL50" s="209">
        <f t="shared" si="19"/>
        <v>11.183689627870143</v>
      </c>
      <c r="BM50" s="209">
        <f t="shared" si="19"/>
        <v>11.17554466439938</v>
      </c>
    </row>
    <row r="51" spans="1:65" x14ac:dyDescent="0.25">
      <c r="A51" s="6" t="s">
        <v>448</v>
      </c>
      <c r="C51" s="6" t="s">
        <v>459</v>
      </c>
      <c r="D51" s="6" t="s">
        <v>447</v>
      </c>
      <c r="E51" s="209">
        <f t="shared" si="21"/>
        <v>19.858714642659745</v>
      </c>
      <c r="F51" s="209">
        <f t="shared" si="19"/>
        <v>18.876299988724167</v>
      </c>
      <c r="G51" s="209">
        <f t="shared" si="19"/>
        <v>17.986001610496931</v>
      </c>
      <c r="H51" s="209">
        <f t="shared" si="19"/>
        <v>17.163616485882127</v>
      </c>
      <c r="I51" s="209">
        <f t="shared" si="19"/>
        <v>16.464363877758757</v>
      </c>
      <c r="J51" s="209">
        <f t="shared" si="19"/>
        <v>15.715486852253116</v>
      </c>
      <c r="K51" s="209">
        <f t="shared" si="19"/>
        <v>14.985839260018546</v>
      </c>
      <c r="L51" s="209">
        <f t="shared" si="19"/>
        <v>14.256584130111536</v>
      </c>
      <c r="M51" s="209">
        <f t="shared" si="19"/>
        <v>13.5931503686511</v>
      </c>
      <c r="N51" s="209">
        <f t="shared" si="19"/>
        <v>12.938947943759507</v>
      </c>
      <c r="O51" s="209">
        <f t="shared" si="19"/>
        <v>12.386370375418771</v>
      </c>
      <c r="P51" s="209">
        <f t="shared" si="19"/>
        <v>12.324832105052495</v>
      </c>
      <c r="Q51" s="209">
        <f t="shared" si="19"/>
        <v>12.414722310469099</v>
      </c>
      <c r="R51" s="209">
        <f t="shared" si="19"/>
        <v>12.072872217689499</v>
      </c>
      <c r="S51" s="209">
        <f t="shared" si="19"/>
        <v>11.999629348523197</v>
      </c>
      <c r="T51" s="209">
        <f t="shared" si="19"/>
        <v>11.928953859478058</v>
      </c>
      <c r="U51" s="209">
        <f t="shared" si="19"/>
        <v>12.026246598725297</v>
      </c>
      <c r="V51" s="209">
        <f t="shared" si="19"/>
        <v>11.585117943632298</v>
      </c>
      <c r="W51" s="209">
        <f t="shared" si="19"/>
        <v>11.671354027665863</v>
      </c>
      <c r="X51" s="209">
        <f t="shared" si="19"/>
        <v>11.376184258692435</v>
      </c>
      <c r="Y51" s="209">
        <f t="shared" si="19"/>
        <v>11.887388105154454</v>
      </c>
      <c r="Z51" s="209">
        <f t="shared" si="19"/>
        <v>12.178168289521389</v>
      </c>
      <c r="AA51" s="209">
        <f t="shared" si="19"/>
        <v>11.563480890919472</v>
      </c>
      <c r="AB51" s="209">
        <f t="shared" si="19"/>
        <v>10.975738789485158</v>
      </c>
      <c r="AC51" s="209">
        <f t="shared" si="19"/>
        <v>10.460288565054242</v>
      </c>
      <c r="AD51" s="209">
        <f t="shared" si="19"/>
        <v>9.8938580749366949</v>
      </c>
      <c r="AE51" s="209">
        <f t="shared" si="19"/>
        <v>9.1183859320151797</v>
      </c>
      <c r="AF51" s="209">
        <f t="shared" si="19"/>
        <v>9.4881229269276322</v>
      </c>
      <c r="AG51" s="209">
        <f t="shared" si="19"/>
        <v>9.3021042572504573</v>
      </c>
      <c r="AH51" s="209">
        <f t="shared" si="19"/>
        <v>9.7254797025681032</v>
      </c>
      <c r="AI51" s="209">
        <f t="shared" si="19"/>
        <v>9.6456378631214612</v>
      </c>
      <c r="AJ51" s="209">
        <f t="shared" si="19"/>
        <v>9.8763970808750621</v>
      </c>
      <c r="AK51" s="209">
        <f t="shared" si="19"/>
        <v>9.6634986259834701</v>
      </c>
      <c r="AL51" s="209">
        <f t="shared" si="19"/>
        <v>9.7211891165914235</v>
      </c>
      <c r="AM51" s="209">
        <f t="shared" si="19"/>
        <v>9.6147313179569291</v>
      </c>
      <c r="AN51" s="209">
        <f t="shared" si="19"/>
        <v>9.9683192882034977</v>
      </c>
      <c r="AO51" s="209">
        <f t="shared" si="19"/>
        <v>10.02710978604207</v>
      </c>
      <c r="AP51" s="209">
        <f t="shared" si="19"/>
        <v>10.261339422809586</v>
      </c>
      <c r="AQ51" s="209">
        <f t="shared" si="19"/>
        <v>10.718237257107965</v>
      </c>
      <c r="AR51" s="209">
        <f t="shared" si="19"/>
        <v>11.101029054267316</v>
      </c>
      <c r="AS51" s="209">
        <f t="shared" si="19"/>
        <v>11.32975408793142</v>
      </c>
      <c r="AT51" s="209">
        <f t="shared" si="19"/>
        <v>11.33910847179936</v>
      </c>
      <c r="AU51" s="209">
        <f t="shared" si="19"/>
        <v>11.229485609848716</v>
      </c>
      <c r="AV51" s="209">
        <f t="shared" si="19"/>
        <v>11.182561124904643</v>
      </c>
      <c r="AW51" s="209">
        <f t="shared" si="19"/>
        <v>11.325059723554354</v>
      </c>
      <c r="AX51" s="209">
        <f t="shared" si="19"/>
        <v>11.119746151784206</v>
      </c>
      <c r="AY51" s="209">
        <f t="shared" si="19"/>
        <v>11.129985672363162</v>
      </c>
      <c r="AZ51" s="209">
        <f t="shared" si="19"/>
        <v>11.169007321275307</v>
      </c>
      <c r="BA51" s="209">
        <f t="shared" si="19"/>
        <v>11.724645877747733</v>
      </c>
      <c r="BB51" s="209">
        <f t="shared" si="19"/>
        <v>11.65834101671015</v>
      </c>
      <c r="BC51" s="209">
        <f t="shared" si="19"/>
        <v>11.459959421702147</v>
      </c>
      <c r="BD51" s="209">
        <f t="shared" si="19"/>
        <v>11.523492306501554</v>
      </c>
      <c r="BE51" s="209">
        <f t="shared" si="19"/>
        <v>11.233248479237204</v>
      </c>
      <c r="BF51" s="209">
        <f t="shared" si="19"/>
        <v>11.355665790840616</v>
      </c>
      <c r="BG51" s="209">
        <f t="shared" si="19"/>
        <v>11.35415604901077</v>
      </c>
      <c r="BH51" s="209">
        <f t="shared" si="19"/>
        <v>11.22082798028508</v>
      </c>
      <c r="BI51" s="209">
        <f t="shared" si="19"/>
        <v>10.987888065525052</v>
      </c>
      <c r="BJ51" s="209">
        <f t="shared" si="19"/>
        <v>11.068840969849324</v>
      </c>
      <c r="BK51" s="209">
        <f t="shared" si="19"/>
        <v>11.184984175177185</v>
      </c>
      <c r="BL51" s="210">
        <f t="shared" si="19"/>
        <v>11.151461710939689</v>
      </c>
      <c r="BM51" s="210">
        <f t="shared" si="19"/>
        <v>11.118139586309713</v>
      </c>
    </row>
    <row r="52" spans="1:65" x14ac:dyDescent="0.25">
      <c r="A52" s="6" t="s">
        <v>449</v>
      </c>
      <c r="C52" s="6" t="s">
        <v>460</v>
      </c>
      <c r="D52" s="6" t="s">
        <v>447</v>
      </c>
      <c r="E52" s="210">
        <f>$E$54/E63</f>
        <v>6.7257734447399997</v>
      </c>
      <c r="F52" s="210">
        <f t="shared" si="19"/>
        <v>6.7257734447399997</v>
      </c>
      <c r="G52" s="210">
        <f t="shared" si="19"/>
        <v>6.7257734447399997</v>
      </c>
      <c r="H52" s="210">
        <f t="shared" si="19"/>
        <v>6.7257734447399997</v>
      </c>
      <c r="I52" s="210">
        <f t="shared" si="19"/>
        <v>6.7257734447399997</v>
      </c>
      <c r="J52" s="210">
        <f t="shared" si="19"/>
        <v>6.7257734447399997</v>
      </c>
      <c r="K52" s="209">
        <f t="shared" si="19"/>
        <v>6.7257734447399997</v>
      </c>
      <c r="L52" s="209">
        <f t="shared" si="19"/>
        <v>6.7257734447399997</v>
      </c>
      <c r="M52" s="209">
        <f t="shared" si="19"/>
        <v>6.6056703475125005</v>
      </c>
      <c r="N52" s="209">
        <f t="shared" si="19"/>
        <v>6.6056703475125005</v>
      </c>
      <c r="O52" s="209">
        <f t="shared" si="19"/>
        <v>6.6056703475125005</v>
      </c>
      <c r="P52" s="209">
        <f t="shared" si="19"/>
        <v>6.7257734447399997</v>
      </c>
      <c r="Q52" s="209">
        <f t="shared" si="19"/>
        <v>6.7257734447399997</v>
      </c>
      <c r="R52" s="209">
        <f t="shared" si="19"/>
        <v>6.6056703475125005</v>
      </c>
      <c r="S52" s="209">
        <f t="shared" si="19"/>
        <v>6.6056703475125005</v>
      </c>
      <c r="T52" s="209">
        <f t="shared" si="19"/>
        <v>6.7257734447399997</v>
      </c>
      <c r="U52" s="209">
        <f t="shared" si="19"/>
        <v>6.7257734447399997</v>
      </c>
      <c r="V52" s="209">
        <f t="shared" si="19"/>
        <v>6.7257734447399997</v>
      </c>
      <c r="W52" s="209">
        <f t="shared" si="19"/>
        <v>6.6056703475125005</v>
      </c>
      <c r="X52" s="209">
        <f t="shared" si="19"/>
        <v>6.6056703475125005</v>
      </c>
      <c r="Y52" s="209">
        <f t="shared" si="19"/>
        <v>6.4855672502850004</v>
      </c>
      <c r="Z52" s="209">
        <f t="shared" si="19"/>
        <v>6.3654641530575002</v>
      </c>
      <c r="AA52" s="209">
        <f t="shared" si="19"/>
        <v>6.6056703475125005</v>
      </c>
      <c r="AB52" s="209">
        <f t="shared" si="19"/>
        <v>6.7257734447399997</v>
      </c>
      <c r="AC52" s="209">
        <f t="shared" si="19"/>
        <v>6.8458765419674998</v>
      </c>
      <c r="AD52" s="209">
        <f t="shared" si="19"/>
        <v>6.965979639195</v>
      </c>
      <c r="AE52" s="209">
        <f t="shared" si="19"/>
        <v>6.965979639195</v>
      </c>
      <c r="AF52" s="209">
        <f t="shared" si="19"/>
        <v>7.0860827364225001</v>
      </c>
      <c r="AG52" s="209">
        <f t="shared" si="19"/>
        <v>7.2061858336500002</v>
      </c>
      <c r="AH52" s="209">
        <f t="shared" si="19"/>
        <v>7.3262889308775003</v>
      </c>
      <c r="AI52" s="209">
        <f t="shared" si="19"/>
        <v>7.2061858336500002</v>
      </c>
      <c r="AJ52" s="209">
        <f t="shared" ref="AJ52:BM52" si="22">$E$54/AJ63</f>
        <v>7.2061858336500002</v>
      </c>
      <c r="AK52" s="209">
        <f t="shared" si="22"/>
        <v>7.2061858336500002</v>
      </c>
      <c r="AL52" s="209">
        <f t="shared" si="22"/>
        <v>7.3262889308775003</v>
      </c>
      <c r="AM52" s="209">
        <f t="shared" si="22"/>
        <v>7.3262889308775003</v>
      </c>
      <c r="AN52" s="209">
        <f t="shared" si="22"/>
        <v>7.3262889308775003</v>
      </c>
      <c r="AO52" s="209">
        <f t="shared" si="22"/>
        <v>7.4463920281049996</v>
      </c>
      <c r="AP52" s="209">
        <f t="shared" si="22"/>
        <v>7.6865982225600007</v>
      </c>
      <c r="AQ52" s="209">
        <f t="shared" si="22"/>
        <v>7.3262889308775003</v>
      </c>
      <c r="AR52" s="209">
        <f t="shared" si="22"/>
        <v>7.2061858336500002</v>
      </c>
      <c r="AS52" s="209">
        <f t="shared" si="22"/>
        <v>6.965979639195</v>
      </c>
      <c r="AT52" s="209">
        <f t="shared" si="22"/>
        <v>7.0860827364225001</v>
      </c>
      <c r="AU52" s="209">
        <f t="shared" si="22"/>
        <v>6.965979639195</v>
      </c>
      <c r="AV52" s="209">
        <f t="shared" si="22"/>
        <v>8.0469075142425002</v>
      </c>
      <c r="AW52" s="209">
        <f t="shared" si="22"/>
        <v>8.0469075142425002</v>
      </c>
      <c r="AX52" s="209">
        <f t="shared" si="22"/>
        <v>7.2061858336500002</v>
      </c>
      <c r="AY52" s="209">
        <f t="shared" si="22"/>
        <v>7.0860827364225001</v>
      </c>
      <c r="AZ52" s="209">
        <f t="shared" si="22"/>
        <v>7.6865982225600007</v>
      </c>
      <c r="BA52" s="209">
        <f t="shared" si="22"/>
        <v>7.8067013197874999</v>
      </c>
      <c r="BB52" s="209">
        <f t="shared" si="22"/>
        <v>7.8067013197874999</v>
      </c>
      <c r="BC52" s="209">
        <f t="shared" si="22"/>
        <v>7.6865982225600007</v>
      </c>
      <c r="BD52" s="209">
        <f t="shared" si="22"/>
        <v>7.5664951253324997</v>
      </c>
      <c r="BE52" s="209">
        <f t="shared" si="22"/>
        <v>7.6865982225600007</v>
      </c>
      <c r="BF52" s="209">
        <f t="shared" si="22"/>
        <v>7.6865982225600007</v>
      </c>
      <c r="BG52" s="209">
        <f t="shared" si="22"/>
        <v>7.5664951253324997</v>
      </c>
      <c r="BH52" s="209">
        <f t="shared" si="22"/>
        <v>7.6865982225600007</v>
      </c>
      <c r="BI52" s="209">
        <f t="shared" si="22"/>
        <v>7.6865982225600007</v>
      </c>
      <c r="BJ52" s="209">
        <f t="shared" si="22"/>
        <v>7.8067013197874999</v>
      </c>
      <c r="BK52" s="209">
        <f t="shared" si="22"/>
        <v>7.926804417015</v>
      </c>
      <c r="BL52" s="210">
        <f t="shared" si="22"/>
        <v>7.976658532845283</v>
      </c>
      <c r="BM52" s="210">
        <f t="shared" si="22"/>
        <v>8.0271437134329116</v>
      </c>
    </row>
    <row r="53" spans="1:65" x14ac:dyDescent="0.25">
      <c r="E53" s="89">
        <v>1</v>
      </c>
      <c r="F53" s="89" t="s">
        <v>255</v>
      </c>
    </row>
    <row r="54" spans="1:65" x14ac:dyDescent="0.25">
      <c r="E54" s="89">
        <v>282.5</v>
      </c>
      <c r="F54" s="89" t="s">
        <v>243</v>
      </c>
    </row>
    <row r="56" spans="1:65" s="211" customFormat="1" x14ac:dyDescent="0.25"/>
    <row r="58" spans="1:65" x14ac:dyDescent="0.25">
      <c r="D58" s="19">
        <v>1959</v>
      </c>
      <c r="E58" s="19">
        <v>1960</v>
      </c>
      <c r="F58" s="19">
        <v>1961</v>
      </c>
      <c r="G58" s="19">
        <v>1962</v>
      </c>
      <c r="H58" s="19">
        <v>1963</v>
      </c>
      <c r="I58" s="19">
        <v>1964</v>
      </c>
      <c r="J58" s="19">
        <v>1965</v>
      </c>
      <c r="K58" s="19">
        <v>1966</v>
      </c>
      <c r="L58" s="19">
        <v>1967</v>
      </c>
      <c r="M58" s="19">
        <v>1968</v>
      </c>
      <c r="N58" s="19">
        <v>1969</v>
      </c>
      <c r="O58" s="19">
        <v>1970</v>
      </c>
      <c r="P58" s="19">
        <v>1971</v>
      </c>
      <c r="Q58" s="19">
        <v>1972</v>
      </c>
      <c r="R58" s="19">
        <v>1973</v>
      </c>
      <c r="S58" s="19">
        <v>1974</v>
      </c>
      <c r="T58" s="19">
        <v>1975</v>
      </c>
      <c r="U58" s="19">
        <v>1976</v>
      </c>
      <c r="V58" s="19">
        <v>1977</v>
      </c>
      <c r="W58" s="19">
        <v>1978</v>
      </c>
      <c r="X58" s="19">
        <v>1979</v>
      </c>
      <c r="Y58" s="19">
        <v>1980</v>
      </c>
      <c r="Z58" s="19">
        <v>1981</v>
      </c>
      <c r="AA58" s="19">
        <v>1982</v>
      </c>
      <c r="AB58" s="19">
        <v>1983</v>
      </c>
      <c r="AC58" s="19">
        <v>1984</v>
      </c>
      <c r="AD58" s="19">
        <v>1985</v>
      </c>
      <c r="AE58" s="19">
        <v>1986</v>
      </c>
      <c r="AF58" s="19">
        <v>1987</v>
      </c>
      <c r="AG58" s="19">
        <v>1988</v>
      </c>
      <c r="AH58" s="19">
        <v>1989</v>
      </c>
      <c r="AI58" s="19">
        <v>1990</v>
      </c>
      <c r="AJ58" s="19">
        <v>1991</v>
      </c>
      <c r="AK58" s="19">
        <v>1992</v>
      </c>
      <c r="AL58" s="19">
        <v>1993</v>
      </c>
      <c r="AM58" s="19">
        <v>1994</v>
      </c>
      <c r="AN58" s="19">
        <v>1995</v>
      </c>
      <c r="AO58" s="19">
        <v>1996</v>
      </c>
      <c r="AP58" s="19">
        <v>1997</v>
      </c>
      <c r="AQ58" s="19">
        <v>1998</v>
      </c>
      <c r="AR58" s="19">
        <v>1999</v>
      </c>
      <c r="AS58" s="19">
        <v>2000</v>
      </c>
      <c r="AT58" s="19">
        <v>2001</v>
      </c>
      <c r="AU58" s="19">
        <v>2002</v>
      </c>
      <c r="AV58" s="19">
        <v>2003</v>
      </c>
      <c r="AW58" s="19">
        <v>2004</v>
      </c>
      <c r="AX58" s="19">
        <v>2005</v>
      </c>
      <c r="AY58" s="19">
        <v>2006</v>
      </c>
      <c r="AZ58" s="19">
        <v>2007</v>
      </c>
      <c r="BA58" s="19">
        <v>2008</v>
      </c>
      <c r="BB58" s="19">
        <v>2009</v>
      </c>
      <c r="BC58" s="19">
        <v>2010</v>
      </c>
      <c r="BD58" s="19">
        <v>2011</v>
      </c>
      <c r="BE58" s="19">
        <v>2012</v>
      </c>
      <c r="BF58" s="19">
        <v>2013</v>
      </c>
      <c r="BG58" s="19">
        <v>2014</v>
      </c>
      <c r="BH58" s="19">
        <v>2015</v>
      </c>
      <c r="BI58" s="19">
        <v>2016</v>
      </c>
      <c r="BJ58" s="19">
        <v>2017</v>
      </c>
      <c r="BK58" s="19">
        <v>2018</v>
      </c>
      <c r="BL58" s="33">
        <v>2019</v>
      </c>
      <c r="BM58" s="19">
        <v>2020</v>
      </c>
    </row>
    <row r="59" spans="1:65" ht="15.75" x14ac:dyDescent="0.25">
      <c r="A59" s="6">
        <v>0.12</v>
      </c>
      <c r="C59" s="206" t="s">
        <v>454</v>
      </c>
      <c r="D59" s="6" t="s">
        <v>243</v>
      </c>
      <c r="E59" s="209">
        <v>43</v>
      </c>
      <c r="F59" s="83">
        <f>E59-$A59</f>
        <v>42.88</v>
      </c>
      <c r="G59" s="83">
        <f t="shared" ref="G59:BM59" si="23">F59-$A59</f>
        <v>42.760000000000005</v>
      </c>
      <c r="H59" s="83">
        <f t="shared" si="23"/>
        <v>42.640000000000008</v>
      </c>
      <c r="I59" s="83">
        <f t="shared" si="23"/>
        <v>42.52000000000001</v>
      </c>
      <c r="J59" s="83">
        <f t="shared" si="23"/>
        <v>42.400000000000013</v>
      </c>
      <c r="K59" s="83">
        <f t="shared" si="23"/>
        <v>42.280000000000015</v>
      </c>
      <c r="L59" s="83">
        <f t="shared" si="23"/>
        <v>42.160000000000018</v>
      </c>
      <c r="M59" s="83">
        <f t="shared" si="23"/>
        <v>42.04000000000002</v>
      </c>
      <c r="N59" s="83">
        <f t="shared" si="23"/>
        <v>41.920000000000023</v>
      </c>
      <c r="O59" s="83">
        <f t="shared" si="23"/>
        <v>41.800000000000026</v>
      </c>
      <c r="P59" s="83">
        <f t="shared" si="23"/>
        <v>41.680000000000028</v>
      </c>
      <c r="Q59" s="83">
        <f t="shared" si="23"/>
        <v>41.560000000000031</v>
      </c>
      <c r="R59" s="83">
        <f t="shared" si="23"/>
        <v>41.440000000000033</v>
      </c>
      <c r="S59" s="83">
        <f t="shared" si="23"/>
        <v>41.320000000000036</v>
      </c>
      <c r="T59" s="83">
        <f t="shared" si="23"/>
        <v>41.200000000000038</v>
      </c>
      <c r="U59" s="83">
        <f t="shared" si="23"/>
        <v>41.080000000000041</v>
      </c>
      <c r="V59" s="83">
        <f t="shared" si="23"/>
        <v>40.960000000000043</v>
      </c>
      <c r="W59" s="83">
        <f t="shared" si="23"/>
        <v>40.840000000000046</v>
      </c>
      <c r="X59" s="83">
        <f t="shared" si="23"/>
        <v>40.720000000000049</v>
      </c>
      <c r="Y59" s="83">
        <f t="shared" si="23"/>
        <v>40.600000000000051</v>
      </c>
      <c r="Z59" s="83">
        <f t="shared" si="23"/>
        <v>40.480000000000054</v>
      </c>
      <c r="AA59" s="83">
        <f t="shared" si="23"/>
        <v>40.360000000000056</v>
      </c>
      <c r="AB59" s="83">
        <f t="shared" si="23"/>
        <v>40.240000000000059</v>
      </c>
      <c r="AC59" s="83">
        <f t="shared" si="23"/>
        <v>40.120000000000061</v>
      </c>
      <c r="AD59" s="83">
        <f t="shared" si="23"/>
        <v>40.000000000000064</v>
      </c>
      <c r="AE59" s="83">
        <f t="shared" si="23"/>
        <v>39.880000000000067</v>
      </c>
      <c r="AF59" s="83">
        <f t="shared" si="23"/>
        <v>39.760000000000069</v>
      </c>
      <c r="AG59" s="83">
        <f t="shared" si="23"/>
        <v>39.640000000000072</v>
      </c>
      <c r="AH59" s="83">
        <f t="shared" si="23"/>
        <v>39.520000000000074</v>
      </c>
      <c r="AI59" s="83">
        <f t="shared" si="23"/>
        <v>39.400000000000077</v>
      </c>
      <c r="AJ59" s="83">
        <f t="shared" si="23"/>
        <v>39.280000000000079</v>
      </c>
      <c r="AK59" s="83">
        <f t="shared" si="23"/>
        <v>39.160000000000082</v>
      </c>
      <c r="AL59" s="83">
        <f t="shared" si="23"/>
        <v>39.040000000000084</v>
      </c>
      <c r="AM59" s="83">
        <f t="shared" si="23"/>
        <v>38.920000000000087</v>
      </c>
      <c r="AN59" s="83">
        <f t="shared" si="23"/>
        <v>38.80000000000009</v>
      </c>
      <c r="AO59" s="83">
        <f t="shared" si="23"/>
        <v>38.680000000000092</v>
      </c>
      <c r="AP59" s="83">
        <f t="shared" si="23"/>
        <v>38.560000000000095</v>
      </c>
      <c r="AQ59" s="83">
        <f t="shared" si="23"/>
        <v>38.440000000000097</v>
      </c>
      <c r="AR59" s="83">
        <f t="shared" si="23"/>
        <v>38.3200000000001</v>
      </c>
      <c r="AS59" s="83">
        <f t="shared" si="23"/>
        <v>38.200000000000102</v>
      </c>
      <c r="AT59" s="83">
        <f t="shared" si="23"/>
        <v>38.080000000000105</v>
      </c>
      <c r="AU59" s="83">
        <f t="shared" si="23"/>
        <v>37.960000000000107</v>
      </c>
      <c r="AV59" s="83">
        <f t="shared" si="23"/>
        <v>37.84000000000011</v>
      </c>
      <c r="AW59" s="83">
        <f t="shared" si="23"/>
        <v>37.720000000000113</v>
      </c>
      <c r="AX59" s="83">
        <f t="shared" si="23"/>
        <v>37.600000000000115</v>
      </c>
      <c r="AY59" s="83">
        <f t="shared" si="23"/>
        <v>37.480000000000118</v>
      </c>
      <c r="AZ59" s="83">
        <f t="shared" si="23"/>
        <v>37.36000000000012</v>
      </c>
      <c r="BA59" s="83">
        <f t="shared" si="23"/>
        <v>37.240000000000123</v>
      </c>
      <c r="BB59" s="83">
        <f t="shared" si="23"/>
        <v>37.120000000000125</v>
      </c>
      <c r="BC59" s="83">
        <f t="shared" si="23"/>
        <v>37.000000000000128</v>
      </c>
      <c r="BD59" s="83">
        <f t="shared" si="23"/>
        <v>36.88000000000013</v>
      </c>
      <c r="BE59" s="83">
        <f t="shared" si="23"/>
        <v>36.760000000000133</v>
      </c>
      <c r="BF59" s="83">
        <f t="shared" si="23"/>
        <v>36.640000000000136</v>
      </c>
      <c r="BG59" s="83">
        <f t="shared" si="23"/>
        <v>36.520000000000138</v>
      </c>
      <c r="BH59" s="83">
        <f t="shared" si="23"/>
        <v>36.400000000000141</v>
      </c>
      <c r="BI59" s="83">
        <f t="shared" si="23"/>
        <v>36.280000000000143</v>
      </c>
      <c r="BJ59" s="83">
        <f t="shared" si="23"/>
        <v>36.160000000000146</v>
      </c>
      <c r="BK59" s="83">
        <f t="shared" si="23"/>
        <v>36.040000000000148</v>
      </c>
      <c r="BL59" s="83">
        <f t="shared" si="23"/>
        <v>35.920000000000151</v>
      </c>
      <c r="BM59" s="83">
        <f t="shared" si="23"/>
        <v>35.800000000000153</v>
      </c>
    </row>
    <row r="60" spans="1:65" ht="15.75" x14ac:dyDescent="0.25">
      <c r="C60" s="206" t="s">
        <v>455</v>
      </c>
      <c r="D60" s="6" t="s">
        <v>243</v>
      </c>
      <c r="E60" s="209">
        <f>E59/2+E61/2</f>
        <v>28.135300000000001</v>
      </c>
      <c r="F60" s="209">
        <f t="shared" ref="F60:BM60" si="24">F59/2+F61/2</f>
        <v>28.625540000000001</v>
      </c>
      <c r="G60" s="209">
        <f t="shared" si="24"/>
        <v>29.088335000000001</v>
      </c>
      <c r="H60" s="209">
        <f t="shared" si="24"/>
        <v>29.524320000000003</v>
      </c>
      <c r="I60" s="209">
        <f t="shared" si="24"/>
        <v>29.934125000000005</v>
      </c>
      <c r="J60" s="209">
        <f t="shared" si="24"/>
        <v>30.318380000000005</v>
      </c>
      <c r="K60" s="209">
        <f t="shared" si="24"/>
        <v>30.677715000000006</v>
      </c>
      <c r="L60" s="209">
        <f t="shared" si="24"/>
        <v>31.012760000000007</v>
      </c>
      <c r="M60" s="209">
        <f t="shared" si="24"/>
        <v>31.324145000000012</v>
      </c>
      <c r="N60" s="209">
        <f t="shared" si="24"/>
        <v>31.612500000000011</v>
      </c>
      <c r="O60" s="209">
        <f t="shared" si="24"/>
        <v>31.878455000000013</v>
      </c>
      <c r="P60" s="209">
        <f t="shared" si="24"/>
        <v>32.122640000000018</v>
      </c>
      <c r="Q60" s="209">
        <f t="shared" si="24"/>
        <v>32.345685000000017</v>
      </c>
      <c r="R60" s="209">
        <f t="shared" si="24"/>
        <v>32.548220000000015</v>
      </c>
      <c r="S60" s="209">
        <f t="shared" si="24"/>
        <v>32.730875000000019</v>
      </c>
      <c r="T60" s="209">
        <f t="shared" si="24"/>
        <v>32.894280000000023</v>
      </c>
      <c r="U60" s="209">
        <f t="shared" si="24"/>
        <v>33.039065000000022</v>
      </c>
      <c r="V60" s="209">
        <f t="shared" si="24"/>
        <v>33.165860000000023</v>
      </c>
      <c r="W60" s="209">
        <f t="shared" si="24"/>
        <v>33.275295000000028</v>
      </c>
      <c r="X60" s="209">
        <f t="shared" si="24"/>
        <v>33.368000000000023</v>
      </c>
      <c r="Y60" s="209">
        <f t="shared" si="24"/>
        <v>33.444605000000024</v>
      </c>
      <c r="Z60" s="209">
        <f t="shared" si="24"/>
        <v>33.505740000000031</v>
      </c>
      <c r="AA60" s="209">
        <f t="shared" si="24"/>
        <v>33.552035000000032</v>
      </c>
      <c r="AB60" s="209">
        <f t="shared" si="24"/>
        <v>33.584120000000027</v>
      </c>
      <c r="AC60" s="209">
        <f t="shared" si="24"/>
        <v>33.602625000000032</v>
      </c>
      <c r="AD60" s="209">
        <f t="shared" si="24"/>
        <v>33.608180000000033</v>
      </c>
      <c r="AE60" s="209">
        <f t="shared" si="24"/>
        <v>33.601415000000031</v>
      </c>
      <c r="AF60" s="209">
        <f t="shared" si="24"/>
        <v>33.582960000000035</v>
      </c>
      <c r="AG60" s="209">
        <f t="shared" si="24"/>
        <v>33.553445000000039</v>
      </c>
      <c r="AH60" s="209">
        <f t="shared" si="24"/>
        <v>33.513500000000043</v>
      </c>
      <c r="AI60" s="209">
        <f t="shared" si="24"/>
        <v>33.463755000000042</v>
      </c>
      <c r="AJ60" s="209">
        <f t="shared" si="24"/>
        <v>33.404840000000043</v>
      </c>
      <c r="AK60" s="209">
        <f t="shared" si="24"/>
        <v>33.33738500000004</v>
      </c>
      <c r="AL60" s="209">
        <f t="shared" si="24"/>
        <v>33.262020000000042</v>
      </c>
      <c r="AM60" s="209">
        <f t="shared" si="24"/>
        <v>33.17937500000005</v>
      </c>
      <c r="AN60" s="209">
        <f t="shared" si="24"/>
        <v>33.090080000000043</v>
      </c>
      <c r="AO60" s="209">
        <f t="shared" si="24"/>
        <v>32.994765000000044</v>
      </c>
      <c r="AP60" s="209">
        <f t="shared" si="24"/>
        <v>32.894060000000046</v>
      </c>
      <c r="AQ60" s="209">
        <f t="shared" si="24"/>
        <v>32.788595000000051</v>
      </c>
      <c r="AR60" s="209">
        <f t="shared" si="24"/>
        <v>32.679000000000052</v>
      </c>
      <c r="AS60" s="209">
        <f t="shared" si="24"/>
        <v>32.565905000000051</v>
      </c>
      <c r="AT60" s="209">
        <f t="shared" si="24"/>
        <v>32.449940000000055</v>
      </c>
      <c r="AU60" s="209">
        <f t="shared" si="24"/>
        <v>32.331735000000059</v>
      </c>
      <c r="AV60" s="209">
        <f t="shared" si="24"/>
        <v>32.211920000000056</v>
      </c>
      <c r="AW60" s="209">
        <f t="shared" si="24"/>
        <v>32.091125000000055</v>
      </c>
      <c r="AX60" s="209">
        <f t="shared" si="24"/>
        <v>31.969980000000056</v>
      </c>
      <c r="AY60" s="209">
        <f t="shared" si="24"/>
        <v>31.849115000000062</v>
      </c>
      <c r="AZ60" s="209">
        <f t="shared" si="24"/>
        <v>31.729160000000064</v>
      </c>
      <c r="BA60" s="209">
        <f t="shared" si="24"/>
        <v>31.610745000000065</v>
      </c>
      <c r="BB60" s="209">
        <f t="shared" si="24"/>
        <v>31.494500000000066</v>
      </c>
      <c r="BC60" s="209">
        <f t="shared" si="24"/>
        <v>31.38105500000006</v>
      </c>
      <c r="BD60" s="209">
        <f t="shared" si="24"/>
        <v>31.27104000000007</v>
      </c>
      <c r="BE60" s="209">
        <f t="shared" si="24"/>
        <v>31.165085000000069</v>
      </c>
      <c r="BF60" s="209">
        <f t="shared" si="24"/>
        <v>31.063820000000071</v>
      </c>
      <c r="BG60" s="209">
        <f t="shared" si="24"/>
        <v>30.967875000000078</v>
      </c>
      <c r="BH60" s="209">
        <f t="shared" si="24"/>
        <v>30.877880000000076</v>
      </c>
      <c r="BI60" s="209">
        <f t="shared" si="24"/>
        <v>30.794465000000073</v>
      </c>
      <c r="BJ60" s="209">
        <f t="shared" si="24"/>
        <v>30.718260000000072</v>
      </c>
      <c r="BK60" s="209">
        <f t="shared" si="24"/>
        <v>30.649895000000072</v>
      </c>
      <c r="BL60" s="209">
        <f t="shared" si="24"/>
        <v>30.590000000000082</v>
      </c>
      <c r="BM60" s="209">
        <f t="shared" si="24"/>
        <v>30.539205000000081</v>
      </c>
    </row>
    <row r="61" spans="1:65" ht="15.75" x14ac:dyDescent="0.25">
      <c r="A61" s="6">
        <v>0.55000000000000004</v>
      </c>
      <c r="B61" s="6">
        <v>0.15</v>
      </c>
      <c r="C61" s="206" t="s">
        <v>456</v>
      </c>
      <c r="D61" s="6" t="s">
        <v>243</v>
      </c>
      <c r="E61" s="209">
        <f>E66</f>
        <v>13.270600000000002</v>
      </c>
      <c r="F61" s="209">
        <f t="shared" ref="F61:BM61" si="25">F66</f>
        <v>14.371080000000001</v>
      </c>
      <c r="G61" s="209">
        <f t="shared" si="25"/>
        <v>15.41667</v>
      </c>
      <c r="H61" s="209">
        <f t="shared" si="25"/>
        <v>16.408640000000002</v>
      </c>
      <c r="I61" s="209">
        <f t="shared" si="25"/>
        <v>17.34825</v>
      </c>
      <c r="J61" s="209">
        <f t="shared" si="25"/>
        <v>18.23676</v>
      </c>
      <c r="K61" s="209">
        <f t="shared" si="25"/>
        <v>19.075430000000001</v>
      </c>
      <c r="L61" s="209">
        <f t="shared" si="25"/>
        <v>19.86552</v>
      </c>
      <c r="M61" s="209">
        <f t="shared" si="25"/>
        <v>20.608290000000004</v>
      </c>
      <c r="N61" s="209">
        <f t="shared" si="25"/>
        <v>21.305</v>
      </c>
      <c r="O61" s="209">
        <f t="shared" si="25"/>
        <v>21.956910000000001</v>
      </c>
      <c r="P61" s="209">
        <f t="shared" si="25"/>
        <v>22.565280000000001</v>
      </c>
      <c r="Q61" s="209">
        <f t="shared" si="25"/>
        <v>23.13137</v>
      </c>
      <c r="R61" s="209">
        <f t="shared" si="25"/>
        <v>23.656440000000003</v>
      </c>
      <c r="S61" s="209">
        <f t="shared" si="25"/>
        <v>24.141750000000002</v>
      </c>
      <c r="T61" s="209">
        <f t="shared" si="25"/>
        <v>24.588560000000001</v>
      </c>
      <c r="U61" s="209">
        <f t="shared" si="25"/>
        <v>24.99813</v>
      </c>
      <c r="V61" s="209">
        <f t="shared" si="25"/>
        <v>25.371720000000003</v>
      </c>
      <c r="W61" s="209">
        <f t="shared" si="25"/>
        <v>25.710590000000003</v>
      </c>
      <c r="X61" s="209">
        <f t="shared" si="25"/>
        <v>26.016000000000002</v>
      </c>
      <c r="Y61" s="209">
        <f t="shared" si="25"/>
        <v>26.289210000000001</v>
      </c>
      <c r="Z61" s="209">
        <f t="shared" si="25"/>
        <v>26.531480000000002</v>
      </c>
      <c r="AA61" s="209">
        <f t="shared" si="25"/>
        <v>26.744070000000001</v>
      </c>
      <c r="AB61" s="209">
        <f t="shared" si="25"/>
        <v>26.928240000000002</v>
      </c>
      <c r="AC61" s="209">
        <f t="shared" si="25"/>
        <v>27.085250000000002</v>
      </c>
      <c r="AD61" s="209">
        <f t="shared" si="25"/>
        <v>27.216360000000002</v>
      </c>
      <c r="AE61" s="209">
        <f t="shared" si="25"/>
        <v>27.322830000000003</v>
      </c>
      <c r="AF61" s="209">
        <f t="shared" si="25"/>
        <v>27.405920000000002</v>
      </c>
      <c r="AG61" s="209">
        <f t="shared" si="25"/>
        <v>27.466889999999999</v>
      </c>
      <c r="AH61" s="209">
        <f t="shared" si="25"/>
        <v>27.507000000000009</v>
      </c>
      <c r="AI61" s="209">
        <f t="shared" si="25"/>
        <v>27.527510000000003</v>
      </c>
      <c r="AJ61" s="209">
        <f t="shared" si="25"/>
        <v>27.529680000000003</v>
      </c>
      <c r="AK61" s="209">
        <f t="shared" si="25"/>
        <v>27.514770000000002</v>
      </c>
      <c r="AL61" s="209">
        <f t="shared" si="25"/>
        <v>27.48404</v>
      </c>
      <c r="AM61" s="209">
        <f t="shared" si="25"/>
        <v>27.438750000000006</v>
      </c>
      <c r="AN61" s="209">
        <f t="shared" si="25"/>
        <v>27.380160000000004</v>
      </c>
      <c r="AO61" s="209">
        <f t="shared" si="25"/>
        <v>27.309529999999999</v>
      </c>
      <c r="AP61" s="209">
        <f t="shared" si="25"/>
        <v>27.228120000000001</v>
      </c>
      <c r="AQ61" s="209">
        <f t="shared" si="25"/>
        <v>27.137190000000004</v>
      </c>
      <c r="AR61" s="209">
        <f t="shared" si="25"/>
        <v>27.038</v>
      </c>
      <c r="AS61" s="209">
        <f t="shared" si="25"/>
        <v>26.931810000000002</v>
      </c>
      <c r="AT61" s="209">
        <f t="shared" si="25"/>
        <v>26.819880000000001</v>
      </c>
      <c r="AU61" s="209">
        <f t="shared" si="25"/>
        <v>26.703470000000006</v>
      </c>
      <c r="AV61" s="209">
        <f t="shared" si="25"/>
        <v>26.583840000000006</v>
      </c>
      <c r="AW61" s="209">
        <f t="shared" si="25"/>
        <v>26.462250000000001</v>
      </c>
      <c r="AX61" s="209">
        <f t="shared" si="25"/>
        <v>26.339960000000001</v>
      </c>
      <c r="AY61" s="209">
        <f t="shared" si="25"/>
        <v>26.218230000000002</v>
      </c>
      <c r="AZ61" s="209">
        <f t="shared" si="25"/>
        <v>26.098320000000012</v>
      </c>
      <c r="BA61" s="209">
        <f t="shared" si="25"/>
        <v>25.981490000000012</v>
      </c>
      <c r="BB61" s="209">
        <f t="shared" si="25"/>
        <v>25.869000000000003</v>
      </c>
      <c r="BC61" s="209">
        <f t="shared" si="25"/>
        <v>25.762109999999996</v>
      </c>
      <c r="BD61" s="209">
        <f t="shared" si="25"/>
        <v>25.662080000000007</v>
      </c>
      <c r="BE61" s="209">
        <f t="shared" si="25"/>
        <v>25.570170000000001</v>
      </c>
      <c r="BF61" s="209">
        <f t="shared" si="25"/>
        <v>25.48764000000001</v>
      </c>
      <c r="BG61" s="209">
        <f t="shared" si="25"/>
        <v>25.415750000000013</v>
      </c>
      <c r="BH61" s="209">
        <f t="shared" si="25"/>
        <v>25.355760000000007</v>
      </c>
      <c r="BI61" s="209">
        <f t="shared" si="25"/>
        <v>25.30893</v>
      </c>
      <c r="BJ61" s="209">
        <f t="shared" si="25"/>
        <v>25.276519999999994</v>
      </c>
      <c r="BK61" s="209">
        <f t="shared" si="25"/>
        <v>25.259789999999999</v>
      </c>
      <c r="BL61" s="209">
        <f t="shared" si="25"/>
        <v>25.260000000000016</v>
      </c>
      <c r="BM61" s="209">
        <f t="shared" si="25"/>
        <v>25.278410000000004</v>
      </c>
    </row>
    <row r="62" spans="1:65" x14ac:dyDescent="0.25">
      <c r="A62" s="6" t="s">
        <v>448</v>
      </c>
      <c r="C62" s="6" t="s">
        <v>457</v>
      </c>
      <c r="D62" s="6" t="s">
        <v>243</v>
      </c>
      <c r="E62" s="83">
        <f>'1_UK stats HDVs'!D179</f>
        <v>14.225492690908812</v>
      </c>
      <c r="F62" s="83">
        <f>'1_UK stats HDVs'!E179</f>
        <v>14.965856665170213</v>
      </c>
      <c r="G62" s="83">
        <f>'1_UK stats HDVs'!F179</f>
        <v>15.706659329727197</v>
      </c>
      <c r="H62" s="83">
        <f>'1_UK stats HDVs'!G179</f>
        <v>16.459235163659674</v>
      </c>
      <c r="I62" s="83">
        <f>'1_UK stats HDVs'!H179</f>
        <v>17.15826995184559</v>
      </c>
      <c r="J62" s="83">
        <f>'1_UK stats HDVs'!I179</f>
        <v>17.975898720534911</v>
      </c>
      <c r="K62" s="83">
        <f>'1_UK stats HDVs'!J179</f>
        <v>18.85112972976399</v>
      </c>
      <c r="L62" s="83">
        <f>'1_UK stats HDVs'!K179</f>
        <v>19.815405809820017</v>
      </c>
      <c r="M62" s="83">
        <f>'1_UK stats HDVs'!L179</f>
        <v>20.782525929493822</v>
      </c>
      <c r="N62" s="83">
        <f>'1_UK stats HDVs'!M179</f>
        <v>21.833305244592982</v>
      </c>
      <c r="O62" s="83">
        <f>'1_UK stats HDVs'!N179</f>
        <v>22.807327040747314</v>
      </c>
      <c r="P62" s="83">
        <f>'1_UK stats HDVs'!O179</f>
        <v>22.921204734642245</v>
      </c>
      <c r="Q62" s="83">
        <f>'1_UK stats HDVs'!P179</f>
        <v>22.755241151207478</v>
      </c>
      <c r="R62" s="83">
        <f>'1_UK stats HDVs'!Q179</f>
        <v>23.399568462761774</v>
      </c>
      <c r="S62" s="83">
        <f>'1_UK stats HDVs'!R179</f>
        <v>23.542393835253545</v>
      </c>
      <c r="T62" s="83">
        <f>'1_UK stats HDVs'!S179</f>
        <v>23.681875487810846</v>
      </c>
      <c r="U62" s="83">
        <f>'1_UK stats HDVs'!T179</f>
        <v>23.490288319045707</v>
      </c>
      <c r="V62" s="83">
        <f>'1_UK stats HDVs'!U179</f>
        <v>24.384732324220721</v>
      </c>
      <c r="W62" s="83">
        <f>'1_UK stats HDVs'!V179</f>
        <v>24.204560955854816</v>
      </c>
      <c r="X62" s="83">
        <f>'1_UK stats HDVs'!W179</f>
        <v>24.832579499065726</v>
      </c>
      <c r="Y62" s="83">
        <f>'1_UK stats HDVs'!X179</f>
        <v>23.764682157345064</v>
      </c>
      <c r="Z62" s="83">
        <f>'1_UK stats HDVs'!Y179</f>
        <v>23.197248821325203</v>
      </c>
      <c r="AA62" s="83">
        <f>'1_UK stats HDVs'!Z179</f>
        <v>24.430359911939714</v>
      </c>
      <c r="AB62" s="83">
        <f>'1_UK stats HDVs'!AA179</f>
        <v>25.738586296408325</v>
      </c>
      <c r="AC62" s="83">
        <f>'1_UK stats HDVs'!AB179</f>
        <v>27.006903131121707</v>
      </c>
      <c r="AD62" s="83">
        <f>'1_UK stats HDVs'!AC179</f>
        <v>28.553067757827883</v>
      </c>
      <c r="AE62" s="83">
        <f>'1_UK stats HDVs'!AD179</f>
        <v>30.981360309408071</v>
      </c>
      <c r="AF62" s="83">
        <f>'1_UK stats HDVs'!AE179</f>
        <v>29.774066185236165</v>
      </c>
      <c r="AG62" s="83">
        <f>'1_UK stats HDVs'!AF179</f>
        <v>30.369472560986129</v>
      </c>
      <c r="AH62" s="83">
        <f>'1_UK stats HDVs'!AG179</f>
        <v>29.047410373536973</v>
      </c>
      <c r="AI62" s="83">
        <f>'1_UK stats HDVs'!AH179</f>
        <v>29.28785052983309</v>
      </c>
      <c r="AJ62" s="83">
        <f>'1_UK stats HDVs'!AI179</f>
        <v>28.603548205553732</v>
      </c>
      <c r="AK62" s="83">
        <f>'1_UK stats HDVs'!AJ179</f>
        <v>29.233718649310568</v>
      </c>
      <c r="AL62" s="83">
        <f>'1_UK stats HDVs'!AK179</f>
        <v>29.060230863922747</v>
      </c>
      <c r="AM62" s="83">
        <f>'1_UK stats HDVs'!AL179</f>
        <v>29.38199629899065</v>
      </c>
      <c r="AN62" s="83">
        <f>'1_UK stats HDVs'!AM179</f>
        <v>28.3397824480111</v>
      </c>
      <c r="AO62" s="83">
        <f>'1_UK stats HDVs'!AN179</f>
        <v>28.173621913788701</v>
      </c>
      <c r="AP62" s="83">
        <f>'1_UK stats HDVs'!AO179</f>
        <v>27.530519005349365</v>
      </c>
      <c r="AQ62" s="83">
        <f>'1_UK stats HDVs'!AP179</f>
        <v>26.356945943947615</v>
      </c>
      <c r="AR62" s="83">
        <f>'1_UK stats HDVs'!AQ179</f>
        <v>25.448091219201427</v>
      </c>
      <c r="AS62" s="83">
        <f>'1_UK stats HDVs'!AR179</f>
        <v>24.934345247698019</v>
      </c>
      <c r="AT62" s="83">
        <f>'1_UK stats HDVs'!AS179</f>
        <v>24.913775249843003</v>
      </c>
      <c r="AU62" s="83">
        <f>'1_UK stats HDVs'!AT179</f>
        <v>25.156984906969914</v>
      </c>
      <c r="AV62" s="83">
        <f>'1_UK stats HDVs'!AU179</f>
        <v>25.262549146352999</v>
      </c>
      <c r="AW62" s="83">
        <f>'1_UK stats HDVs'!AV179</f>
        <v>24.944680813686499</v>
      </c>
      <c r="AX62" s="83">
        <f>'1_UK stats HDVs'!AW179</f>
        <v>25.405256212136802</v>
      </c>
      <c r="AY62" s="83">
        <f>'1_UK stats HDVs'!AX179</f>
        <v>25.381883527619895</v>
      </c>
      <c r="AZ62" s="83">
        <f>'1_UK stats HDVs'!AY179</f>
        <v>25.293205732068891</v>
      </c>
      <c r="BA62" s="83">
        <f>'1_UK stats HDVs'!AZ179</f>
        <v>24.094544342371844</v>
      </c>
      <c r="BB62" s="83">
        <f>'1_UK stats HDVs'!BA179</f>
        <v>24.231578025989005</v>
      </c>
      <c r="BC62" s="83">
        <f>'1_UK stats HDVs'!BB179</f>
        <v>24.651047146381632</v>
      </c>
      <c r="BD62" s="83">
        <f>'1_UK stats HDVs'!BC179</f>
        <v>24.515137641096313</v>
      </c>
      <c r="BE62" s="83">
        <f>'1_UK stats HDVs'!BD179</f>
        <v>25.148557919123249</v>
      </c>
      <c r="BF62" s="83">
        <f>'1_UK stats HDVs'!BE179</f>
        <v>24.877449301815673</v>
      </c>
      <c r="BG62" s="83">
        <f>'1_UK stats HDVs'!BF179</f>
        <v>24.880757211771172</v>
      </c>
      <c r="BH62" s="83">
        <f>'1_UK stats HDVs'!BG179</f>
        <v>25.176395226479777</v>
      </c>
      <c r="BI62" s="83">
        <f>'1_UK stats HDVs'!BH179</f>
        <v>25.710127216016634</v>
      </c>
      <c r="BJ62" s="83">
        <f>'1_UK stats HDVs'!BI179</f>
        <v>25.522094026782785</v>
      </c>
      <c r="BK62" s="83">
        <f>'1_UK stats HDVs'!BJ179</f>
        <v>25.257076413836305</v>
      </c>
      <c r="BL62" s="212">
        <f>BK62+(BK62-BF62)/5</f>
        <v>25.333001836240431</v>
      </c>
      <c r="BM62" s="213">
        <f>BL62+BL62-BK62</f>
        <v>25.408927258644557</v>
      </c>
    </row>
    <row r="63" spans="1:65" x14ac:dyDescent="0.25">
      <c r="A63" s="6" t="s">
        <v>449</v>
      </c>
      <c r="C63" s="6" t="s">
        <v>458</v>
      </c>
      <c r="D63" s="6" t="s">
        <v>243</v>
      </c>
      <c r="E63" s="213">
        <f t="shared" ref="E63:I63" si="26">F63</f>
        <v>42.002604209175928</v>
      </c>
      <c r="F63" s="213">
        <f t="shared" si="26"/>
        <v>42.002604209175928</v>
      </c>
      <c r="G63" s="213">
        <f t="shared" si="26"/>
        <v>42.002604209175928</v>
      </c>
      <c r="H63" s="213">
        <f t="shared" si="26"/>
        <v>42.002604209175928</v>
      </c>
      <c r="I63" s="213">
        <f t="shared" si="26"/>
        <v>42.002604209175928</v>
      </c>
      <c r="J63" s="213">
        <f>K63</f>
        <v>42.002604209175928</v>
      </c>
      <c r="K63" s="214">
        <v>42.002604209175928</v>
      </c>
      <c r="L63" s="214">
        <v>42.002604209175928</v>
      </c>
      <c r="M63" s="214">
        <v>42.766287922070035</v>
      </c>
      <c r="N63" s="214">
        <v>42.766287922070035</v>
      </c>
      <c r="O63" s="214">
        <v>42.766287922070035</v>
      </c>
      <c r="P63" s="214">
        <v>42.002604209175928</v>
      </c>
      <c r="Q63" s="214">
        <v>42.002604209175928</v>
      </c>
      <c r="R63" s="214">
        <v>42.766287922070035</v>
      </c>
      <c r="S63" s="214">
        <v>42.766287922070035</v>
      </c>
      <c r="T63" s="214">
        <v>42.002604209175928</v>
      </c>
      <c r="U63" s="214">
        <v>42.002604209175928</v>
      </c>
      <c r="V63" s="214">
        <v>42.002604209175928</v>
      </c>
      <c r="W63" s="214">
        <v>42.766287922070035</v>
      </c>
      <c r="X63" s="214">
        <v>42.766287922070035</v>
      </c>
      <c r="Y63" s="214">
        <v>43.558256216923184</v>
      </c>
      <c r="Z63" s="214">
        <v>44.380110107808527</v>
      </c>
      <c r="AA63" s="214">
        <v>42.766287922070035</v>
      </c>
      <c r="AB63" s="214">
        <v>42.002604209175928</v>
      </c>
      <c r="AC63" s="214">
        <v>41.26571641603249</v>
      </c>
      <c r="AD63" s="214">
        <v>40.55423854679055</v>
      </c>
      <c r="AE63" s="214">
        <v>40.55423854679055</v>
      </c>
      <c r="AF63" s="214">
        <v>39.866878571421218</v>
      </c>
      <c r="AG63" s="214">
        <v>39.202430595230865</v>
      </c>
      <c r="AH63" s="214">
        <v>38.559767798587735</v>
      </c>
      <c r="AI63" s="214">
        <v>39.202430595230865</v>
      </c>
      <c r="AJ63" s="214">
        <v>39.202430595230865</v>
      </c>
      <c r="AK63" s="214">
        <v>39.202430595230865</v>
      </c>
      <c r="AL63" s="214">
        <v>38.559767798587735</v>
      </c>
      <c r="AM63" s="214">
        <v>38.559767798587735</v>
      </c>
      <c r="AN63" s="214">
        <v>38.559767798587735</v>
      </c>
      <c r="AO63" s="214">
        <v>37.937836059900839</v>
      </c>
      <c r="AP63" s="214">
        <v>36.752278683028933</v>
      </c>
      <c r="AQ63" s="214">
        <v>38.559767798587735</v>
      </c>
      <c r="AR63" s="214">
        <v>39.202430595230865</v>
      </c>
      <c r="AS63" s="214">
        <v>40.55423854679055</v>
      </c>
      <c r="AT63" s="214">
        <v>39.866878571421218</v>
      </c>
      <c r="AU63" s="214">
        <v>40.55423854679055</v>
      </c>
      <c r="AV63" s="214">
        <v>35.106654264385845</v>
      </c>
      <c r="AW63" s="214">
        <v>35.106654264385845</v>
      </c>
      <c r="AX63" s="214">
        <v>39.202430595230865</v>
      </c>
      <c r="AY63" s="214">
        <v>39.866878571421218</v>
      </c>
      <c r="AZ63" s="214">
        <v>36.752278683028933</v>
      </c>
      <c r="BA63" s="214">
        <v>36.186859010982339</v>
      </c>
      <c r="BB63" s="214">
        <v>36.186859010982339</v>
      </c>
      <c r="BC63" s="214">
        <v>36.752278683028933</v>
      </c>
      <c r="BD63" s="214">
        <v>37.335648185934161</v>
      </c>
      <c r="BE63" s="214">
        <v>36.752278683028933</v>
      </c>
      <c r="BF63" s="214">
        <v>36.752278683028933</v>
      </c>
      <c r="BG63" s="214">
        <v>37.335648185934161</v>
      </c>
      <c r="BH63" s="214">
        <v>36.752278683028933</v>
      </c>
      <c r="BI63" s="214">
        <v>36.752278683028933</v>
      </c>
      <c r="BJ63" s="214">
        <v>36.186859010982339</v>
      </c>
      <c r="BK63" s="214">
        <v>35.638573268391696</v>
      </c>
      <c r="BL63" s="212">
        <f>BK63+(BK63-BF63)/5</f>
        <v>35.415832185464247</v>
      </c>
      <c r="BM63" s="213">
        <f>BL63+BL63-BK63</f>
        <v>35.193091102536798</v>
      </c>
    </row>
    <row r="64" spans="1:65" x14ac:dyDescent="0.25">
      <c r="E64" s="214"/>
      <c r="F64" s="214"/>
      <c r="G64" s="214"/>
      <c r="H64" s="214"/>
      <c r="I64" s="214"/>
      <c r="J64" s="214"/>
      <c r="K64" s="214"/>
      <c r="L64" s="214"/>
      <c r="M64" s="214"/>
      <c r="N64" s="214"/>
      <c r="O64" s="214"/>
      <c r="P64" s="214"/>
      <c r="Q64" s="214"/>
      <c r="R64" s="214"/>
      <c r="S64" s="214"/>
      <c r="T64" s="214"/>
      <c r="U64" s="214"/>
      <c r="V64" s="214"/>
      <c r="W64" s="214"/>
      <c r="X64" s="214"/>
      <c r="Y64" s="214"/>
      <c r="Z64" s="214"/>
      <c r="AA64" s="214"/>
      <c r="AB64" s="214"/>
      <c r="AC64" s="214"/>
      <c r="AD64" s="214"/>
      <c r="AE64" s="214"/>
      <c r="AF64" s="214"/>
      <c r="AG64" s="214"/>
      <c r="AH64" s="214"/>
      <c r="AI64" s="214"/>
      <c r="AJ64" s="214"/>
      <c r="AK64" s="214"/>
      <c r="AL64" s="214"/>
      <c r="AM64" s="214"/>
      <c r="AN64" s="214"/>
      <c r="AO64" s="214"/>
      <c r="AP64" s="214"/>
      <c r="AQ64" s="214"/>
      <c r="AR64" s="214"/>
      <c r="AS64" s="214"/>
      <c r="AT64" s="214"/>
      <c r="AU64" s="214"/>
      <c r="AV64" s="214"/>
      <c r="AW64" s="214"/>
      <c r="AX64" s="214"/>
      <c r="AY64" s="214"/>
      <c r="AZ64" s="214"/>
      <c r="BA64" s="214"/>
      <c r="BB64" s="214"/>
      <c r="BC64" s="214"/>
      <c r="BD64" s="214"/>
      <c r="BE64" s="214"/>
      <c r="BF64" s="214"/>
      <c r="BG64" s="214"/>
      <c r="BH64" s="214"/>
      <c r="BI64" s="214"/>
      <c r="BJ64" s="214"/>
      <c r="BK64" s="214"/>
      <c r="BL64" s="212"/>
      <c r="BM64" s="213"/>
    </row>
    <row r="65" spans="1:65" x14ac:dyDescent="0.25">
      <c r="K65" s="48"/>
      <c r="L65" s="48"/>
      <c r="M65" s="48"/>
      <c r="N65" s="48"/>
      <c r="O65" s="48"/>
      <c r="P65" s="48"/>
      <c r="Q65" s="48"/>
      <c r="R65" s="48"/>
      <c r="S65" s="48"/>
      <c r="T65" s="48"/>
      <c r="U65" s="48"/>
      <c r="V65" s="48"/>
      <c r="W65" s="48"/>
      <c r="X65" s="48"/>
      <c r="Y65" s="48"/>
      <c r="Z65" s="48"/>
      <c r="AA65" s="48"/>
      <c r="AB65" s="48"/>
      <c r="AC65" s="48"/>
      <c r="AD65" s="48"/>
      <c r="AE65" s="48"/>
      <c r="AF65" s="48"/>
      <c r="AG65" s="48"/>
      <c r="AH65" s="48"/>
      <c r="AI65" s="48"/>
      <c r="AJ65" s="48"/>
      <c r="AK65" s="48"/>
      <c r="AL65" s="48"/>
      <c r="AM65" s="48"/>
      <c r="AN65" s="48"/>
      <c r="AO65" s="48"/>
      <c r="AP65" s="48"/>
      <c r="AQ65" s="48"/>
      <c r="AR65" s="48"/>
      <c r="AS65" s="48"/>
      <c r="AT65" s="48"/>
      <c r="AU65" s="48"/>
      <c r="AV65" s="48"/>
      <c r="AW65" s="48"/>
      <c r="AX65" s="48"/>
      <c r="AY65" s="48"/>
      <c r="AZ65" s="48"/>
      <c r="BA65" s="48"/>
      <c r="BB65" s="48"/>
      <c r="BC65" s="48"/>
      <c r="BD65" s="48"/>
      <c r="BE65" s="48"/>
      <c r="BF65" s="48"/>
      <c r="BG65" s="48"/>
      <c r="BH65" s="48"/>
      <c r="BI65" s="48"/>
      <c r="BJ65" s="48"/>
      <c r="BK65" s="48"/>
    </row>
    <row r="66" spans="1:65" x14ac:dyDescent="0.25">
      <c r="C66" s="236" t="s">
        <v>547</v>
      </c>
      <c r="E66" s="48">
        <f>0.0002*(E58-$D58)^3 - 0.0287*(E58-$D58)^2 + 1.1851*(E58-$D58) +12.114</f>
        <v>13.270600000000002</v>
      </c>
      <c r="F66" s="48">
        <f>0.00021*(F58-$D58)^3 - 0.0287*(F58-$D58)^2 + 1.1851*(F58-$D58) +12.114</f>
        <v>14.371080000000001</v>
      </c>
      <c r="G66" s="48">
        <f t="shared" ref="G66:BM66" si="27">0.00021*(G58-$D58)^3 - 0.0287*(G58-$D58)^2 + 1.1851*(G58-$D58) +12.114</f>
        <v>15.41667</v>
      </c>
      <c r="H66" s="48">
        <f t="shared" si="27"/>
        <v>16.408640000000002</v>
      </c>
      <c r="I66" s="48">
        <f t="shared" si="27"/>
        <v>17.34825</v>
      </c>
      <c r="J66" s="48">
        <f t="shared" si="27"/>
        <v>18.23676</v>
      </c>
      <c r="K66" s="48">
        <f t="shared" si="27"/>
        <v>19.075430000000001</v>
      </c>
      <c r="L66" s="48">
        <f t="shared" si="27"/>
        <v>19.86552</v>
      </c>
      <c r="M66" s="48">
        <f t="shared" si="27"/>
        <v>20.608290000000004</v>
      </c>
      <c r="N66" s="48">
        <f t="shared" si="27"/>
        <v>21.305</v>
      </c>
      <c r="O66" s="48">
        <f t="shared" si="27"/>
        <v>21.956910000000001</v>
      </c>
      <c r="P66" s="48">
        <f t="shared" si="27"/>
        <v>22.565280000000001</v>
      </c>
      <c r="Q66" s="48">
        <f t="shared" si="27"/>
        <v>23.13137</v>
      </c>
      <c r="R66" s="48">
        <f t="shared" si="27"/>
        <v>23.656440000000003</v>
      </c>
      <c r="S66" s="48">
        <f t="shared" si="27"/>
        <v>24.141750000000002</v>
      </c>
      <c r="T66" s="48">
        <f t="shared" si="27"/>
        <v>24.588560000000001</v>
      </c>
      <c r="U66" s="48">
        <f t="shared" si="27"/>
        <v>24.99813</v>
      </c>
      <c r="V66" s="48">
        <f t="shared" si="27"/>
        <v>25.371720000000003</v>
      </c>
      <c r="W66" s="48">
        <f t="shared" si="27"/>
        <v>25.710590000000003</v>
      </c>
      <c r="X66" s="48">
        <f t="shared" si="27"/>
        <v>26.016000000000002</v>
      </c>
      <c r="Y66" s="48">
        <f t="shared" si="27"/>
        <v>26.289210000000001</v>
      </c>
      <c r="Z66" s="48">
        <f t="shared" si="27"/>
        <v>26.531480000000002</v>
      </c>
      <c r="AA66" s="48">
        <f t="shared" si="27"/>
        <v>26.744070000000001</v>
      </c>
      <c r="AB66" s="48">
        <f t="shared" si="27"/>
        <v>26.928240000000002</v>
      </c>
      <c r="AC66" s="48">
        <f t="shared" si="27"/>
        <v>27.085250000000002</v>
      </c>
      <c r="AD66" s="48">
        <f t="shared" si="27"/>
        <v>27.216360000000002</v>
      </c>
      <c r="AE66" s="48">
        <f t="shared" si="27"/>
        <v>27.322830000000003</v>
      </c>
      <c r="AF66" s="48">
        <f t="shared" si="27"/>
        <v>27.405920000000002</v>
      </c>
      <c r="AG66" s="48">
        <f t="shared" si="27"/>
        <v>27.466889999999999</v>
      </c>
      <c r="AH66" s="48">
        <f t="shared" si="27"/>
        <v>27.507000000000009</v>
      </c>
      <c r="AI66" s="48">
        <f t="shared" si="27"/>
        <v>27.527510000000003</v>
      </c>
      <c r="AJ66" s="48">
        <f t="shared" si="27"/>
        <v>27.529680000000003</v>
      </c>
      <c r="AK66" s="48">
        <f t="shared" si="27"/>
        <v>27.514770000000002</v>
      </c>
      <c r="AL66" s="48">
        <f t="shared" si="27"/>
        <v>27.48404</v>
      </c>
      <c r="AM66" s="48">
        <f t="shared" si="27"/>
        <v>27.438750000000006</v>
      </c>
      <c r="AN66" s="48">
        <f t="shared" si="27"/>
        <v>27.380160000000004</v>
      </c>
      <c r="AO66" s="48">
        <f t="shared" si="27"/>
        <v>27.309529999999999</v>
      </c>
      <c r="AP66" s="48">
        <f t="shared" si="27"/>
        <v>27.228120000000001</v>
      </c>
      <c r="AQ66" s="48">
        <f t="shared" si="27"/>
        <v>27.137190000000004</v>
      </c>
      <c r="AR66" s="48">
        <f t="shared" si="27"/>
        <v>27.038</v>
      </c>
      <c r="AS66" s="48">
        <f t="shared" si="27"/>
        <v>26.931810000000002</v>
      </c>
      <c r="AT66" s="48">
        <f t="shared" si="27"/>
        <v>26.819880000000001</v>
      </c>
      <c r="AU66" s="48">
        <f t="shared" si="27"/>
        <v>26.703470000000006</v>
      </c>
      <c r="AV66" s="48">
        <f t="shared" si="27"/>
        <v>26.583840000000006</v>
      </c>
      <c r="AW66" s="48">
        <f t="shared" si="27"/>
        <v>26.462250000000001</v>
      </c>
      <c r="AX66" s="48">
        <f t="shared" si="27"/>
        <v>26.339960000000001</v>
      </c>
      <c r="AY66" s="48">
        <f t="shared" si="27"/>
        <v>26.218230000000002</v>
      </c>
      <c r="AZ66" s="48">
        <f t="shared" si="27"/>
        <v>26.098320000000012</v>
      </c>
      <c r="BA66" s="48">
        <f t="shared" si="27"/>
        <v>25.981490000000012</v>
      </c>
      <c r="BB66" s="48">
        <f t="shared" si="27"/>
        <v>25.869000000000003</v>
      </c>
      <c r="BC66" s="48">
        <f t="shared" si="27"/>
        <v>25.762109999999996</v>
      </c>
      <c r="BD66" s="48">
        <f t="shared" si="27"/>
        <v>25.662080000000007</v>
      </c>
      <c r="BE66" s="48">
        <f t="shared" si="27"/>
        <v>25.570170000000001</v>
      </c>
      <c r="BF66" s="48">
        <f t="shared" si="27"/>
        <v>25.48764000000001</v>
      </c>
      <c r="BG66" s="48">
        <f t="shared" si="27"/>
        <v>25.415750000000013</v>
      </c>
      <c r="BH66" s="48">
        <f t="shared" si="27"/>
        <v>25.355760000000007</v>
      </c>
      <c r="BI66" s="48">
        <f t="shared" si="27"/>
        <v>25.30893</v>
      </c>
      <c r="BJ66" s="48">
        <f t="shared" si="27"/>
        <v>25.276519999999994</v>
      </c>
      <c r="BK66" s="48">
        <f t="shared" si="27"/>
        <v>25.259789999999999</v>
      </c>
      <c r="BL66" s="48">
        <f t="shared" si="27"/>
        <v>25.260000000000016</v>
      </c>
      <c r="BM66" s="48">
        <f t="shared" si="27"/>
        <v>25.278410000000004</v>
      </c>
    </row>
    <row r="67" spans="1:65" x14ac:dyDescent="0.25">
      <c r="AS67" s="48"/>
      <c r="AT67" s="48"/>
      <c r="AU67" s="48"/>
      <c r="AV67" s="48"/>
      <c r="AW67" s="48"/>
      <c r="AX67" s="48"/>
      <c r="AY67" s="48"/>
      <c r="AZ67" s="48"/>
      <c r="BA67" s="48"/>
      <c r="BB67" s="48"/>
      <c r="BC67" s="48"/>
      <c r="BD67" s="48"/>
      <c r="BE67" s="48"/>
      <c r="BF67" s="48"/>
      <c r="BG67" s="48"/>
      <c r="BH67" s="48"/>
    </row>
    <row r="68" spans="1:65" x14ac:dyDescent="0.25">
      <c r="C68" s="48" t="s">
        <v>546</v>
      </c>
      <c r="AS68" s="48"/>
      <c r="AT68" s="48"/>
      <c r="AU68" s="48"/>
      <c r="AV68" s="48"/>
      <c r="AW68" s="48"/>
      <c r="AX68" s="48"/>
      <c r="AY68" s="48"/>
      <c r="AZ68" s="48"/>
      <c r="BA68" s="48"/>
      <c r="BB68" s="48"/>
      <c r="BC68" s="48"/>
      <c r="BD68" s="48"/>
      <c r="BE68" s="48"/>
      <c r="BF68" s="48"/>
      <c r="BG68" s="48"/>
      <c r="BH68" s="48"/>
    </row>
    <row r="69" spans="1:65" x14ac:dyDescent="0.25">
      <c r="AS69" s="48"/>
      <c r="AT69" s="48"/>
      <c r="AU69" s="48"/>
      <c r="AV69" s="48"/>
      <c r="AW69" s="48"/>
      <c r="AX69" s="48"/>
      <c r="AY69" s="48"/>
      <c r="AZ69" s="48"/>
      <c r="BA69" s="48"/>
      <c r="BB69" s="48"/>
      <c r="BC69" s="48"/>
      <c r="BD69" s="48"/>
      <c r="BE69" s="48"/>
      <c r="BF69" s="48"/>
      <c r="BG69" s="48"/>
      <c r="BH69" s="48"/>
    </row>
    <row r="73" spans="1:65" x14ac:dyDescent="0.25">
      <c r="AS73" s="48">
        <v>8.1584264580289361</v>
      </c>
      <c r="AT73" s="48">
        <v>8.0014912819541184</v>
      </c>
      <c r="AU73" s="48">
        <v>7.9136011142012599</v>
      </c>
      <c r="AV73" s="48">
        <v>7.8369481547028563</v>
      </c>
      <c r="AW73" s="48">
        <v>7.7656350238329068</v>
      </c>
      <c r="AX73" s="48">
        <v>7.7154833561557385</v>
      </c>
      <c r="AY73" s="48">
        <v>7.646066202185783</v>
      </c>
      <c r="AZ73" s="48">
        <v>7.5950519439251893</v>
      </c>
      <c r="BA73" s="48">
        <v>7.4927838781350626</v>
      </c>
      <c r="BB73" s="48">
        <v>7.3917909845769847</v>
      </c>
      <c r="BC73" s="48">
        <v>7.3224442536295813</v>
      </c>
      <c r="BD73" s="48">
        <v>7.2462137312881216</v>
      </c>
      <c r="BE73" s="48">
        <v>7.1699474073111533</v>
      </c>
      <c r="BF73" s="48">
        <v>7.1300413033508852</v>
      </c>
      <c r="BG73" s="48">
        <v>7.0406474017880871</v>
      </c>
      <c r="BH73" s="48">
        <v>6.9150694096112311</v>
      </c>
      <c r="BI73" s="48"/>
    </row>
    <row r="74" spans="1:65" x14ac:dyDescent="0.25">
      <c r="AS74" s="48">
        <v>7.6360163116864639</v>
      </c>
      <c r="AT74" s="48">
        <v>7.5286819234039246</v>
      </c>
      <c r="AU74" s="48">
        <v>7.5329810339435159</v>
      </c>
      <c r="AV74" s="48">
        <v>7.51110671933366</v>
      </c>
      <c r="AW74" s="48">
        <v>7.4847085958360324</v>
      </c>
      <c r="AX74" s="48">
        <v>7.4786385588115358</v>
      </c>
      <c r="AY74" s="48">
        <v>7.4994854079086481</v>
      </c>
      <c r="AZ74" s="48">
        <v>7.4568749906258489</v>
      </c>
      <c r="BA74" s="48">
        <v>7.336674499629062</v>
      </c>
      <c r="BB74" s="48">
        <v>7.1989924305154336</v>
      </c>
      <c r="BC74" s="48">
        <v>7.123273529794365</v>
      </c>
      <c r="BD74" s="48">
        <v>7.0590055054785932</v>
      </c>
      <c r="BE74" s="48">
        <v>6.9979709938336416</v>
      </c>
      <c r="BF74" s="48">
        <v>6.9104101380160108</v>
      </c>
      <c r="BG74" s="48">
        <v>6.8528029863723932</v>
      </c>
      <c r="BH74" s="48">
        <v>6.7553463212566189</v>
      </c>
      <c r="BI74" s="48"/>
    </row>
    <row r="75" spans="1:65" x14ac:dyDescent="0.25">
      <c r="AS75" s="48">
        <v>7.301999112699562</v>
      </c>
      <c r="AT75" s="48">
        <v>7.2636240233124649</v>
      </c>
      <c r="AU75" s="48">
        <v>7.2718742570053978</v>
      </c>
      <c r="AV75" s="48">
        <v>7.2785596328908966</v>
      </c>
      <c r="AW75" s="48">
        <v>7.2822612795830732</v>
      </c>
      <c r="AX75" s="48">
        <v>7.2914066211978454</v>
      </c>
      <c r="AY75" s="48">
        <v>7.2905872321728218</v>
      </c>
      <c r="AZ75" s="48">
        <v>7.290366731067297</v>
      </c>
      <c r="BA75" s="48">
        <v>7.2596278223598851</v>
      </c>
      <c r="BB75" s="48">
        <v>7.1964833396803742</v>
      </c>
      <c r="BC75" s="48">
        <v>7.1664944404556454</v>
      </c>
      <c r="BD75" s="48">
        <v>7.1180030506976921</v>
      </c>
      <c r="BE75" s="48">
        <v>7.0626603914170518</v>
      </c>
      <c r="BF75" s="48">
        <v>7.0102746238030598</v>
      </c>
      <c r="BG75" s="48">
        <v>6.9524820310014332</v>
      </c>
      <c r="BH75" s="48">
        <v>6.8981489157263827</v>
      </c>
      <c r="BI75" s="48"/>
    </row>
    <row r="76" spans="1:65" x14ac:dyDescent="0.25">
      <c r="AS76" s="48"/>
      <c r="AT76" s="48"/>
      <c r="AU76" s="48"/>
      <c r="AV76" s="48"/>
      <c r="AW76" s="48"/>
      <c r="AX76" s="48"/>
      <c r="AY76" s="48"/>
      <c r="AZ76" s="48"/>
      <c r="BA76" s="48"/>
      <c r="BB76" s="48"/>
      <c r="BC76" s="48"/>
      <c r="BD76" s="48"/>
      <c r="BE76" s="48"/>
      <c r="BF76" s="48"/>
      <c r="BG76" s="48"/>
      <c r="BH76" s="48"/>
      <c r="BI76" s="48"/>
    </row>
    <row r="78" spans="1:65" x14ac:dyDescent="0.25">
      <c r="A78" s="6" t="s">
        <v>451</v>
      </c>
      <c r="C78" s="6">
        <v>1</v>
      </c>
      <c r="D78" s="6" t="s">
        <v>452</v>
      </c>
    </row>
    <row r="79" spans="1:65" x14ac:dyDescent="0.25">
      <c r="C79" s="6">
        <v>0.73699999999999999</v>
      </c>
      <c r="D79" s="6" t="s">
        <v>453</v>
      </c>
    </row>
  </sheetData>
  <mergeCells count="1">
    <mergeCell ref="B39:B44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9" tint="0.39997558519241921"/>
  </sheetPr>
  <dimension ref="B5:N85"/>
  <sheetViews>
    <sheetView zoomScale="80" zoomScaleNormal="80" workbookViewId="0">
      <selection activeCell="A87" sqref="A87"/>
    </sheetView>
  </sheetViews>
  <sheetFormatPr defaultColWidth="8.875" defaultRowHeight="15.75" x14ac:dyDescent="0.25"/>
  <sheetData>
    <row r="5" spans="12:14" x14ac:dyDescent="0.25">
      <c r="L5" t="s">
        <v>450</v>
      </c>
      <c r="M5" s="226">
        <v>37</v>
      </c>
      <c r="N5" t="s">
        <v>243</v>
      </c>
    </row>
    <row r="6" spans="12:14" x14ac:dyDescent="0.25">
      <c r="L6" t="s">
        <v>24</v>
      </c>
      <c r="M6" s="226">
        <v>38</v>
      </c>
      <c r="N6" t="s">
        <v>243</v>
      </c>
    </row>
    <row r="7" spans="12:14" x14ac:dyDescent="0.25">
      <c r="L7" t="s">
        <v>21</v>
      </c>
      <c r="M7" s="226">
        <v>45</v>
      </c>
      <c r="N7" t="s">
        <v>243</v>
      </c>
    </row>
    <row r="8" spans="12:14" x14ac:dyDescent="0.25">
      <c r="L8" t="s">
        <v>23</v>
      </c>
      <c r="M8" s="226">
        <v>41</v>
      </c>
      <c r="N8" t="s">
        <v>243</v>
      </c>
    </row>
    <row r="9" spans="12:14" x14ac:dyDescent="0.25">
      <c r="L9" t="s">
        <v>496</v>
      </c>
      <c r="M9" s="226">
        <v>35</v>
      </c>
      <c r="N9" t="s">
        <v>243</v>
      </c>
    </row>
    <row r="58" spans="2:4" s="228" customFormat="1" x14ac:dyDescent="0.25"/>
    <row r="60" spans="2:4" x14ac:dyDescent="0.25">
      <c r="B60" s="227" t="s">
        <v>489</v>
      </c>
    </row>
    <row r="62" spans="2:4" x14ac:dyDescent="0.25">
      <c r="B62" s="1"/>
      <c r="C62" s="1"/>
      <c r="D62" s="1" t="s">
        <v>25</v>
      </c>
    </row>
    <row r="63" spans="2:4" x14ac:dyDescent="0.25">
      <c r="B63" s="1" t="s">
        <v>18</v>
      </c>
      <c r="C63" s="1" t="s">
        <v>19</v>
      </c>
      <c r="D63" s="1">
        <v>28</v>
      </c>
    </row>
    <row r="64" spans="2:4" x14ac:dyDescent="0.25">
      <c r="B64" s="1"/>
      <c r="C64" s="1" t="s">
        <v>69</v>
      </c>
      <c r="D64" s="229">
        <v>34</v>
      </c>
    </row>
    <row r="65" spans="2:4" x14ac:dyDescent="0.25">
      <c r="B65" s="1"/>
      <c r="C65" s="1" t="s">
        <v>20</v>
      </c>
      <c r="D65" s="1">
        <v>39</v>
      </c>
    </row>
    <row r="66" spans="2:4" x14ac:dyDescent="0.25">
      <c r="B66" s="1" t="s">
        <v>21</v>
      </c>
      <c r="C66" s="1" t="s">
        <v>19</v>
      </c>
      <c r="D66" s="1">
        <v>27</v>
      </c>
    </row>
    <row r="67" spans="2:4" x14ac:dyDescent="0.25">
      <c r="B67" s="1"/>
      <c r="C67" s="1" t="s">
        <v>70</v>
      </c>
      <c r="D67" s="229">
        <v>35</v>
      </c>
    </row>
    <row r="68" spans="2:4" x14ac:dyDescent="0.25">
      <c r="B68" s="1"/>
      <c r="C68" s="1" t="s">
        <v>20</v>
      </c>
      <c r="D68" s="1">
        <v>41</v>
      </c>
    </row>
    <row r="69" spans="2:4" x14ac:dyDescent="0.25">
      <c r="B69" s="1" t="s">
        <v>22</v>
      </c>
      <c r="C69" s="1" t="s">
        <v>19</v>
      </c>
      <c r="D69" s="1">
        <v>25</v>
      </c>
    </row>
    <row r="70" spans="2:4" x14ac:dyDescent="0.25">
      <c r="B70" s="1"/>
      <c r="C70" s="1" t="s">
        <v>71</v>
      </c>
      <c r="D70" s="229">
        <v>31</v>
      </c>
    </row>
    <row r="71" spans="2:4" x14ac:dyDescent="0.25">
      <c r="B71" s="1"/>
      <c r="C71" s="1" t="s">
        <v>20</v>
      </c>
      <c r="D71" s="1">
        <v>35</v>
      </c>
    </row>
    <row r="72" spans="2:4" x14ac:dyDescent="0.25">
      <c r="B72" s="1" t="s">
        <v>23</v>
      </c>
      <c r="C72" s="1" t="s">
        <v>19</v>
      </c>
      <c r="D72" s="1">
        <v>26</v>
      </c>
    </row>
    <row r="73" spans="2:4" x14ac:dyDescent="0.25">
      <c r="B73" s="1"/>
      <c r="C73" s="1" t="s">
        <v>72</v>
      </c>
      <c r="D73" s="229">
        <v>41</v>
      </c>
    </row>
    <row r="74" spans="2:4" x14ac:dyDescent="0.25">
      <c r="B74" s="1"/>
      <c r="C74" s="1" t="s">
        <v>20</v>
      </c>
      <c r="D74" s="1">
        <v>54</v>
      </c>
    </row>
    <row r="75" spans="2:4" x14ac:dyDescent="0.25">
      <c r="B75" s="1" t="s">
        <v>24</v>
      </c>
      <c r="C75" s="1" t="s">
        <v>19</v>
      </c>
      <c r="D75" s="1">
        <v>32</v>
      </c>
    </row>
    <row r="76" spans="2:4" x14ac:dyDescent="0.25">
      <c r="B76" s="1"/>
      <c r="C76" s="1" t="s">
        <v>73</v>
      </c>
      <c r="D76" s="229">
        <v>37</v>
      </c>
    </row>
    <row r="77" spans="2:4" x14ac:dyDescent="0.25">
      <c r="B77" s="1"/>
      <c r="C77" s="1" t="s">
        <v>20</v>
      </c>
      <c r="D77" s="1">
        <v>42</v>
      </c>
    </row>
    <row r="82" spans="2:2" s="235" customFormat="1" x14ac:dyDescent="0.25"/>
    <row r="85" spans="2:2" x14ac:dyDescent="0.25">
      <c r="B85" t="s">
        <v>506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theme="9" tint="0.39997558519241921"/>
  </sheetPr>
  <dimension ref="A1:BK399"/>
  <sheetViews>
    <sheetView topLeftCell="A167" zoomScale="80" zoomScaleNormal="80" workbookViewId="0">
      <selection activeCell="D179" sqref="D179"/>
    </sheetView>
  </sheetViews>
  <sheetFormatPr defaultColWidth="8.375" defaultRowHeight="15" x14ac:dyDescent="0.25"/>
  <cols>
    <col min="1" max="1" width="14.125" style="6" customWidth="1"/>
    <col min="2" max="2" width="8.375" style="6"/>
    <col min="3" max="3" width="54.5" style="6" customWidth="1"/>
    <col min="4" max="4" width="8.125" style="6" customWidth="1"/>
    <col min="5" max="13" width="8.375" style="6" customWidth="1"/>
    <col min="14" max="14" width="18" style="6" bestFit="1" customWidth="1"/>
    <col min="15" max="54" width="8.375" style="6"/>
    <col min="55" max="55" width="8.375" style="18"/>
    <col min="56" max="62" width="8.375" style="6"/>
    <col min="63" max="63" width="8.375" style="21"/>
    <col min="64" max="16384" width="8.375" style="6"/>
  </cols>
  <sheetData>
    <row r="1" spans="1:40" x14ac:dyDescent="0.25">
      <c r="A1" s="5" t="s">
        <v>139</v>
      </c>
      <c r="I1" s="7" t="s">
        <v>140</v>
      </c>
      <c r="J1" s="7" t="s">
        <v>141</v>
      </c>
      <c r="K1" s="7">
        <v>131.9</v>
      </c>
      <c r="L1" s="7" t="s">
        <v>142</v>
      </c>
      <c r="M1" s="7"/>
    </row>
    <row r="2" spans="1:40" x14ac:dyDescent="0.25">
      <c r="A2" s="8" t="s">
        <v>143</v>
      </c>
      <c r="I2" s="7"/>
      <c r="J2" s="9" t="s">
        <v>144</v>
      </c>
      <c r="K2" s="7"/>
      <c r="L2" s="7"/>
      <c r="M2" s="7"/>
      <c r="Y2" s="10" t="s">
        <v>145</v>
      </c>
      <c r="Z2" s="10"/>
      <c r="AA2" s="10"/>
      <c r="AB2" s="10"/>
      <c r="AC2" s="10"/>
      <c r="AD2" s="10"/>
      <c r="AE2" s="10"/>
      <c r="AF2" s="10"/>
      <c r="AG2" s="10"/>
      <c r="AH2" s="10"/>
      <c r="AI2" s="10"/>
      <c r="AJ2" s="10"/>
      <c r="AK2" s="10"/>
      <c r="AL2" s="10"/>
      <c r="AM2" s="10"/>
      <c r="AN2" s="10"/>
    </row>
    <row r="3" spans="1:40" x14ac:dyDescent="0.25">
      <c r="A3" s="8" t="s">
        <v>146</v>
      </c>
      <c r="I3" s="7"/>
      <c r="J3" s="11" t="s">
        <v>147</v>
      </c>
      <c r="K3" s="7"/>
      <c r="L3" s="7"/>
      <c r="M3" s="7"/>
      <c r="Y3" s="10"/>
      <c r="Z3" s="10"/>
      <c r="AA3" s="10"/>
      <c r="AB3" s="10"/>
      <c r="AC3" s="10"/>
      <c r="AD3" s="10"/>
      <c r="AE3" s="10"/>
      <c r="AF3" s="10"/>
      <c r="AG3" s="10"/>
      <c r="AH3" s="10"/>
      <c r="AI3" s="10"/>
      <c r="AJ3" s="10"/>
      <c r="AK3" s="10"/>
      <c r="AL3" s="10"/>
      <c r="AM3" s="10"/>
      <c r="AN3" s="10"/>
    </row>
    <row r="4" spans="1:40" x14ac:dyDescent="0.25">
      <c r="A4" s="12"/>
      <c r="I4" s="7"/>
      <c r="J4" s="7">
        <v>131.9</v>
      </c>
      <c r="K4" s="7" t="s">
        <v>148</v>
      </c>
      <c r="L4" s="7">
        <v>3.1503773765199999E-3</v>
      </c>
      <c r="M4" s="7" t="s">
        <v>149</v>
      </c>
      <c r="Y4" s="10"/>
      <c r="Z4" s="10"/>
      <c r="AA4" s="13" t="s">
        <v>150</v>
      </c>
      <c r="AB4" s="10"/>
      <c r="AC4" s="10"/>
      <c r="AD4" s="10"/>
      <c r="AE4" s="10"/>
      <c r="AF4" s="10"/>
      <c r="AG4" s="10"/>
      <c r="AH4" s="13" t="s">
        <v>151</v>
      </c>
      <c r="AI4" s="10"/>
      <c r="AJ4" s="10"/>
      <c r="AK4" s="10"/>
      <c r="AL4" s="10"/>
      <c r="AM4" s="10"/>
      <c r="AN4" s="10"/>
    </row>
    <row r="5" spans="1:40" x14ac:dyDescent="0.25">
      <c r="A5" s="12"/>
      <c r="I5" s="7"/>
      <c r="J5" s="7">
        <f>1/L4</f>
        <v>317.4222896130081</v>
      </c>
      <c r="K5" s="7" t="s">
        <v>152</v>
      </c>
      <c r="L5" s="7">
        <v>1</v>
      </c>
      <c r="M5" s="7" t="s">
        <v>149</v>
      </c>
      <c r="N5" s="6">
        <f>J5*N15</f>
        <v>264.30923361943263</v>
      </c>
      <c r="O5" s="14" t="s">
        <v>153</v>
      </c>
      <c r="P5" s="6">
        <v>1</v>
      </c>
      <c r="Q5" s="14" t="s">
        <v>149</v>
      </c>
      <c r="Y5" s="10"/>
      <c r="Z5" s="10"/>
      <c r="AA5" s="10"/>
      <c r="AB5" s="10"/>
      <c r="AC5" s="10"/>
      <c r="AD5" s="10"/>
      <c r="AE5" s="10"/>
      <c r="AF5" s="10"/>
      <c r="AG5" s="10"/>
      <c r="AH5" s="10"/>
      <c r="AI5" s="10"/>
      <c r="AJ5" s="10"/>
      <c r="AK5" s="10"/>
      <c r="AL5" s="10"/>
      <c r="AM5" s="10"/>
      <c r="AN5" s="10"/>
    </row>
    <row r="6" spans="1:40" x14ac:dyDescent="0.25">
      <c r="A6" s="8"/>
      <c r="I6" s="7"/>
      <c r="J6" s="7"/>
      <c r="K6" s="7"/>
      <c r="L6" s="7"/>
      <c r="M6" s="7"/>
      <c r="Y6" s="10"/>
      <c r="Z6" s="10"/>
      <c r="AA6" s="10"/>
      <c r="AB6" s="10"/>
      <c r="AC6" s="10"/>
      <c r="AD6" s="10"/>
      <c r="AE6" s="10"/>
      <c r="AF6" s="10"/>
      <c r="AG6" s="10"/>
      <c r="AH6" s="10"/>
      <c r="AI6" s="10"/>
      <c r="AJ6" s="10"/>
      <c r="AK6" s="10"/>
      <c r="AL6" s="10"/>
      <c r="AM6" s="10"/>
      <c r="AN6" s="10"/>
    </row>
    <row r="7" spans="1:40" x14ac:dyDescent="0.25">
      <c r="A7" s="5" t="s">
        <v>154</v>
      </c>
      <c r="I7" s="7" t="s">
        <v>3</v>
      </c>
      <c r="J7" s="7" t="s">
        <v>155</v>
      </c>
      <c r="K7" s="7">
        <v>146.30000000000001</v>
      </c>
      <c r="L7" s="7" t="s">
        <v>142</v>
      </c>
      <c r="M7" s="7"/>
      <c r="Y7" s="10"/>
      <c r="Z7" s="10"/>
      <c r="AA7" s="10"/>
      <c r="AB7" s="10"/>
      <c r="AC7" s="10"/>
      <c r="AD7" s="10"/>
      <c r="AE7" s="10"/>
      <c r="AF7" s="10"/>
      <c r="AG7" s="10"/>
      <c r="AH7" s="10"/>
      <c r="AI7" s="10"/>
      <c r="AJ7" s="10"/>
      <c r="AK7" s="10"/>
      <c r="AL7" s="10"/>
      <c r="AM7" s="10"/>
      <c r="AN7" s="10"/>
    </row>
    <row r="8" spans="1:40" x14ac:dyDescent="0.25">
      <c r="A8" s="15">
        <v>1</v>
      </c>
      <c r="B8" s="13" t="s">
        <v>156</v>
      </c>
      <c r="C8" s="10"/>
      <c r="I8" s="7"/>
      <c r="J8" s="7">
        <v>146.30000000000001</v>
      </c>
      <c r="K8" s="7" t="s">
        <v>148</v>
      </c>
      <c r="L8" s="7">
        <f>J8/J4*L4</f>
        <v>3.494315467663957E-3</v>
      </c>
      <c r="M8" s="7" t="s">
        <v>149</v>
      </c>
      <c r="Y8" s="10"/>
      <c r="Z8" s="10"/>
      <c r="AA8" s="10"/>
      <c r="AB8" s="10"/>
      <c r="AC8" s="10"/>
      <c r="AD8" s="10"/>
      <c r="AE8" s="10"/>
      <c r="AF8" s="10"/>
      <c r="AG8" s="10"/>
      <c r="AH8" s="10"/>
      <c r="AI8" s="10"/>
      <c r="AJ8" s="10"/>
      <c r="AK8" s="10"/>
      <c r="AL8" s="10"/>
      <c r="AM8" s="10"/>
      <c r="AN8" s="10"/>
    </row>
    <row r="9" spans="1:40" x14ac:dyDescent="0.25">
      <c r="A9" s="16">
        <v>2</v>
      </c>
      <c r="B9" s="13" t="s">
        <v>157</v>
      </c>
      <c r="C9" s="10"/>
      <c r="I9" s="7"/>
      <c r="J9" s="7">
        <f>1/L8</f>
        <v>286.1790840735186</v>
      </c>
      <c r="K9" s="7" t="s">
        <v>152</v>
      </c>
      <c r="L9" s="7" t="s">
        <v>158</v>
      </c>
      <c r="M9" s="7"/>
      <c r="N9" s="6">
        <f>J9*N15</f>
        <v>238.29383400138872</v>
      </c>
      <c r="O9" s="14" t="s">
        <v>153</v>
      </c>
      <c r="P9" s="6">
        <v>1</v>
      </c>
      <c r="Q9" s="14" t="s">
        <v>149</v>
      </c>
      <c r="Y9" s="10"/>
      <c r="Z9" s="10"/>
      <c r="AA9" s="10"/>
      <c r="AB9" s="10"/>
      <c r="AC9" s="10"/>
      <c r="AD9" s="10"/>
      <c r="AE9" s="10"/>
      <c r="AF9" s="10"/>
      <c r="AG9" s="10"/>
      <c r="AH9" s="10"/>
      <c r="AI9" s="10"/>
      <c r="AJ9" s="10"/>
      <c r="AK9" s="10"/>
      <c r="AL9" s="10"/>
      <c r="AM9" s="10"/>
      <c r="AN9" s="10"/>
    </row>
    <row r="10" spans="1:40" x14ac:dyDescent="0.25">
      <c r="A10" s="15">
        <v>3</v>
      </c>
      <c r="B10" s="13" t="s">
        <v>159</v>
      </c>
      <c r="C10" s="10"/>
      <c r="Y10" s="10"/>
      <c r="Z10" s="10"/>
      <c r="AA10" s="10"/>
      <c r="AB10" s="10"/>
      <c r="AC10" s="10"/>
      <c r="AD10" s="10"/>
      <c r="AE10" s="10"/>
      <c r="AF10" s="10"/>
      <c r="AG10" s="10"/>
      <c r="AH10" s="10"/>
      <c r="AI10" s="10"/>
      <c r="AJ10" s="10"/>
      <c r="AK10" s="10"/>
      <c r="AL10" s="10"/>
      <c r="AM10" s="10"/>
      <c r="AN10" s="10"/>
    </row>
    <row r="11" spans="1:40" ht="15.75" x14ac:dyDescent="0.25">
      <c r="A11" s="16">
        <v>4</v>
      </c>
      <c r="B11" s="13" t="s">
        <v>160</v>
      </c>
      <c r="C11" s="10"/>
      <c r="I11" s="17" t="s">
        <v>161</v>
      </c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Y11" s="10"/>
      <c r="Z11" s="10"/>
      <c r="AA11" s="10"/>
      <c r="AB11" s="10"/>
      <c r="AC11" s="10"/>
      <c r="AD11" s="10"/>
      <c r="AE11" s="10"/>
      <c r="AF11" s="10"/>
      <c r="AG11" s="10"/>
      <c r="AH11" s="10"/>
      <c r="AI11" s="10"/>
      <c r="AJ11" s="10"/>
      <c r="AK11" s="10"/>
      <c r="AL11" s="10"/>
      <c r="AM11" s="10"/>
      <c r="AN11" s="10"/>
    </row>
    <row r="12" spans="1:40" x14ac:dyDescent="0.25">
      <c r="A12" s="16">
        <v>5</v>
      </c>
      <c r="B12" s="13" t="s">
        <v>162</v>
      </c>
      <c r="C12" s="10"/>
      <c r="I12" s="6" t="s">
        <v>163</v>
      </c>
      <c r="Y12" s="10"/>
      <c r="Z12" s="10"/>
      <c r="AA12" s="10"/>
      <c r="AB12" s="10"/>
      <c r="AC12" s="10"/>
      <c r="AD12" s="10"/>
      <c r="AE12" s="10"/>
      <c r="AF12" s="10"/>
      <c r="AG12" s="10"/>
      <c r="AH12" s="10"/>
      <c r="AI12" s="10"/>
      <c r="AJ12" s="10"/>
      <c r="AK12" s="10"/>
      <c r="AL12" s="10"/>
      <c r="AM12" s="10"/>
      <c r="AN12" s="10"/>
    </row>
    <row r="13" spans="1:40" x14ac:dyDescent="0.25">
      <c r="A13" s="16">
        <v>6</v>
      </c>
      <c r="B13" s="13" t="s">
        <v>164</v>
      </c>
      <c r="C13" s="10"/>
      <c r="I13" s="6" t="s">
        <v>165</v>
      </c>
      <c r="Y13" s="10"/>
      <c r="Z13" s="10"/>
      <c r="AA13" s="10"/>
      <c r="AB13" s="10"/>
      <c r="AC13" s="10"/>
      <c r="AD13" s="10"/>
      <c r="AE13" s="10"/>
      <c r="AF13" s="10"/>
      <c r="AG13" s="10"/>
      <c r="AH13" s="10"/>
      <c r="AI13" s="10"/>
      <c r="AJ13" s="10"/>
      <c r="AK13" s="10"/>
      <c r="AL13" s="10"/>
      <c r="AM13" s="10"/>
      <c r="AN13" s="10"/>
    </row>
    <row r="14" spans="1:40" x14ac:dyDescent="0.25">
      <c r="A14" s="16">
        <v>7</v>
      </c>
      <c r="B14" s="13" t="s">
        <v>166</v>
      </c>
      <c r="C14" s="10"/>
      <c r="Y14" s="10"/>
      <c r="Z14" s="10"/>
      <c r="AA14" s="10"/>
      <c r="AB14" s="10"/>
      <c r="AC14" s="10"/>
      <c r="AD14" s="10"/>
      <c r="AE14" s="10"/>
      <c r="AF14" s="10"/>
      <c r="AG14" s="10"/>
      <c r="AH14" s="10"/>
      <c r="AI14" s="10"/>
      <c r="AJ14" s="10"/>
      <c r="AK14" s="10"/>
      <c r="AL14" s="10"/>
      <c r="AM14" s="10"/>
      <c r="AN14" s="10"/>
    </row>
    <row r="15" spans="1:40" x14ac:dyDescent="0.25">
      <c r="A15" s="19" t="s">
        <v>167</v>
      </c>
      <c r="K15" s="20">
        <v>1</v>
      </c>
      <c r="L15" s="14" t="s">
        <v>168</v>
      </c>
      <c r="M15" s="14" t="s">
        <v>169</v>
      </c>
      <c r="N15" s="6">
        <v>0.83267382999999995</v>
      </c>
      <c r="O15" s="14" t="s">
        <v>170</v>
      </c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</row>
    <row r="16" spans="1:40" x14ac:dyDescent="0.25">
      <c r="A16" s="14" t="s">
        <v>171</v>
      </c>
      <c r="B16" s="14" t="s">
        <v>172</v>
      </c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</row>
    <row r="17" spans="1:63" x14ac:dyDescent="0.25">
      <c r="A17" s="14" t="s">
        <v>173</v>
      </c>
      <c r="B17" s="14" t="s">
        <v>174</v>
      </c>
      <c r="K17" s="14" t="s">
        <v>175</v>
      </c>
      <c r="N17" s="6">
        <f>1/N15</f>
        <v>1.2009504369796276</v>
      </c>
      <c r="O17" s="14" t="s">
        <v>176</v>
      </c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</row>
    <row r="18" spans="1:63" ht="15.75" x14ac:dyDescent="0.25">
      <c r="A18" s="22" t="s">
        <v>177</v>
      </c>
      <c r="B18" s="22" t="s">
        <v>178</v>
      </c>
      <c r="F18" s="19" t="s">
        <v>179</v>
      </c>
      <c r="J18" s="23" t="s">
        <v>180</v>
      </c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</row>
    <row r="19" spans="1:63" x14ac:dyDescent="0.25">
      <c r="B19" s="14" t="s">
        <v>181</v>
      </c>
      <c r="F19" s="14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</row>
    <row r="20" spans="1:63" ht="15.75" x14ac:dyDescent="0.25">
      <c r="B20" s="14" t="s">
        <v>182</v>
      </c>
      <c r="F20" s="245"/>
      <c r="G20" s="245"/>
      <c r="H20" s="245"/>
      <c r="I20" s="245"/>
      <c r="J20" s="245"/>
      <c r="K20" s="245"/>
      <c r="L20" s="245"/>
      <c r="M20" s="245"/>
      <c r="N20" s="245"/>
      <c r="O20" s="245"/>
      <c r="P20" s="245"/>
      <c r="Q20" s="245"/>
      <c r="R20" s="245"/>
      <c r="S20" s="245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</row>
    <row r="21" spans="1:63" x14ac:dyDescent="0.25">
      <c r="F21" s="24"/>
      <c r="H21" s="25"/>
      <c r="I21" s="26"/>
      <c r="J21" s="25"/>
      <c r="K21" s="26"/>
      <c r="L21" s="26"/>
      <c r="M21" s="27"/>
      <c r="N21" s="25"/>
      <c r="O21" s="27"/>
      <c r="P21" s="25"/>
      <c r="Q21" s="28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</row>
    <row r="22" spans="1:63" x14ac:dyDescent="0.25">
      <c r="H22" s="29"/>
      <c r="I22" s="30"/>
      <c r="J22" s="29"/>
      <c r="K22" s="30"/>
      <c r="L22" s="30"/>
      <c r="M22" s="31"/>
      <c r="N22" s="29"/>
      <c r="O22" s="31"/>
      <c r="P22" s="29"/>
      <c r="Q22" s="32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</row>
    <row r="23" spans="1:63" x14ac:dyDescent="0.25">
      <c r="A23" s="19" t="s">
        <v>183</v>
      </c>
    </row>
    <row r="24" spans="1:63" s="19" customFormat="1" x14ac:dyDescent="0.25">
      <c r="D24" s="19">
        <v>1960</v>
      </c>
      <c r="E24" s="19">
        <v>1961</v>
      </c>
      <c r="F24" s="19">
        <v>1962</v>
      </c>
      <c r="G24" s="19">
        <v>1963</v>
      </c>
      <c r="H24" s="19">
        <v>1964</v>
      </c>
      <c r="I24" s="19">
        <v>1965</v>
      </c>
      <c r="J24" s="19">
        <v>1966</v>
      </c>
      <c r="K24" s="19">
        <v>1967</v>
      </c>
      <c r="L24" s="19">
        <v>1968</v>
      </c>
      <c r="M24" s="19">
        <v>1969</v>
      </c>
      <c r="N24" s="19">
        <v>1970</v>
      </c>
      <c r="O24" s="19">
        <v>1971</v>
      </c>
      <c r="P24" s="19">
        <v>1972</v>
      </c>
      <c r="Q24" s="19">
        <v>1973</v>
      </c>
      <c r="R24" s="19">
        <v>1974</v>
      </c>
      <c r="S24" s="19">
        <v>1975</v>
      </c>
      <c r="T24" s="19">
        <v>1976</v>
      </c>
      <c r="U24" s="19">
        <v>1977</v>
      </c>
      <c r="V24" s="19">
        <v>1978</v>
      </c>
      <c r="W24" s="19">
        <v>1979</v>
      </c>
      <c r="X24" s="19">
        <v>1980</v>
      </c>
      <c r="Y24" s="19">
        <v>1981</v>
      </c>
      <c r="Z24" s="19">
        <v>1982</v>
      </c>
      <c r="AA24" s="19">
        <v>1983</v>
      </c>
      <c r="AB24" s="19">
        <v>1984</v>
      </c>
      <c r="AC24" s="19">
        <v>1985</v>
      </c>
      <c r="AD24" s="19">
        <v>1986</v>
      </c>
      <c r="AE24" s="19">
        <v>1987</v>
      </c>
      <c r="AF24" s="19">
        <v>1988</v>
      </c>
      <c r="AG24" s="19">
        <v>1989</v>
      </c>
      <c r="AH24" s="19">
        <v>1990</v>
      </c>
      <c r="AI24" s="19">
        <v>1991</v>
      </c>
      <c r="AJ24" s="19">
        <v>1992</v>
      </c>
      <c r="AK24" s="19">
        <v>1993</v>
      </c>
      <c r="AL24" s="19">
        <v>1994</v>
      </c>
      <c r="AM24" s="19">
        <v>1995</v>
      </c>
      <c r="AN24" s="19">
        <v>1996</v>
      </c>
      <c r="AO24" s="19">
        <v>1997</v>
      </c>
      <c r="AP24" s="19">
        <v>1998</v>
      </c>
      <c r="AQ24" s="19">
        <v>1999</v>
      </c>
      <c r="AR24" s="19">
        <v>2000</v>
      </c>
      <c r="AS24" s="19">
        <v>2001</v>
      </c>
      <c r="AT24" s="19">
        <v>2002</v>
      </c>
      <c r="AU24" s="19">
        <v>2003</v>
      </c>
      <c r="AV24" s="19">
        <v>2004</v>
      </c>
      <c r="AW24" s="19">
        <v>2005</v>
      </c>
      <c r="AX24" s="19">
        <v>2006</v>
      </c>
      <c r="AY24" s="19">
        <v>2007</v>
      </c>
      <c r="AZ24" s="19">
        <v>2008</v>
      </c>
      <c r="BA24" s="19">
        <v>2009</v>
      </c>
      <c r="BB24" s="19">
        <v>2010</v>
      </c>
      <c r="BC24" s="19">
        <v>2011</v>
      </c>
      <c r="BD24" s="19">
        <v>2012</v>
      </c>
      <c r="BE24" s="19">
        <v>2013</v>
      </c>
      <c r="BF24" s="19">
        <v>2014</v>
      </c>
      <c r="BG24" s="19">
        <v>2015</v>
      </c>
      <c r="BH24" s="19">
        <v>2016</v>
      </c>
      <c r="BI24" s="19">
        <v>2017</v>
      </c>
      <c r="BJ24" s="19">
        <v>2018</v>
      </c>
      <c r="BK24" s="33">
        <v>2019</v>
      </c>
    </row>
    <row r="25" spans="1:63" ht="15.75" x14ac:dyDescent="0.25">
      <c r="B25" s="34" t="s">
        <v>184</v>
      </c>
      <c r="C25" s="34" t="str">
        <f>C47</f>
        <v>petrol exergy efficiency, y = 35(1-e^-0.025x)</v>
      </c>
      <c r="D25" s="35">
        <f>D47</f>
        <v>0.15957566228914821</v>
      </c>
      <c r="E25" s="35">
        <f t="shared" ref="E25:BB26" si="0">E47</f>
        <v>0.15957566228914821</v>
      </c>
      <c r="F25" s="35">
        <f t="shared" si="0"/>
        <v>0.15957566228914821</v>
      </c>
      <c r="G25" s="35">
        <f t="shared" si="0"/>
        <v>0.15957566228914824</v>
      </c>
      <c r="H25" s="35">
        <f t="shared" si="0"/>
        <v>0.15957566228914821</v>
      </c>
      <c r="I25" s="35">
        <f t="shared" si="0"/>
        <v>0.15957566228914824</v>
      </c>
      <c r="J25" s="35">
        <f t="shared" si="0"/>
        <v>0.15957566228914821</v>
      </c>
      <c r="K25" s="35">
        <f t="shared" si="0"/>
        <v>0.15957566228914824</v>
      </c>
      <c r="L25" s="35">
        <f t="shared" si="0"/>
        <v>0.15957566228914824</v>
      </c>
      <c r="M25" s="35">
        <f t="shared" si="0"/>
        <v>0.15957566228914821</v>
      </c>
      <c r="N25" s="35">
        <f t="shared" si="0"/>
        <v>0.15977832985657828</v>
      </c>
      <c r="O25" s="35">
        <f t="shared" si="0"/>
        <v>0.16068077968357733</v>
      </c>
      <c r="P25" s="35">
        <f t="shared" si="0"/>
        <v>0.15973940156086686</v>
      </c>
      <c r="Q25" s="35">
        <f t="shared" si="0"/>
        <v>0.15823003362711793</v>
      </c>
      <c r="R25" s="35">
        <f t="shared" si="0"/>
        <v>0.15934526063216348</v>
      </c>
      <c r="S25" s="35">
        <f t="shared" si="0"/>
        <v>0.16324187261236239</v>
      </c>
      <c r="T25" s="35">
        <f t="shared" si="0"/>
        <v>0.16372919018945534</v>
      </c>
      <c r="U25" s="35">
        <f t="shared" si="0"/>
        <v>0.16254752229460565</v>
      </c>
      <c r="V25" s="35">
        <f t="shared" si="0"/>
        <v>0.16047680163058048</v>
      </c>
      <c r="W25" s="35">
        <f t="shared" si="0"/>
        <v>0.1579245544997479</v>
      </c>
      <c r="X25" s="35">
        <f t="shared" si="0"/>
        <v>0.16263378185425792</v>
      </c>
      <c r="Y25" s="35">
        <f t="shared" si="0"/>
        <v>0.16793677186192457</v>
      </c>
      <c r="Z25" s="35">
        <f t="shared" si="0"/>
        <v>0.16810597008408468</v>
      </c>
      <c r="AA25" s="35">
        <f t="shared" si="0"/>
        <v>0.16748787469921694</v>
      </c>
      <c r="AB25" s="35">
        <f t="shared" si="0"/>
        <v>0.16937441294359271</v>
      </c>
      <c r="AC25" s="35">
        <f t="shared" si="0"/>
        <v>0.17106902296461737</v>
      </c>
      <c r="AD25" s="35">
        <f t="shared" si="0"/>
        <v>0.17067499596405628</v>
      </c>
      <c r="AE25" s="35">
        <f t="shared" si="0"/>
        <v>0.17462448779488315</v>
      </c>
      <c r="AF25" s="35">
        <f t="shared" si="0"/>
        <v>0.1764923155995331</v>
      </c>
      <c r="AG25" s="35">
        <f t="shared" si="0"/>
        <v>0.18077232454272851</v>
      </c>
      <c r="AH25" s="35">
        <f t="shared" si="0"/>
        <v>0.17707688799781174</v>
      </c>
      <c r="AI25" s="35">
        <f t="shared" si="0"/>
        <v>0.17715441011566577</v>
      </c>
      <c r="AJ25" s="35">
        <f t="shared" si="0"/>
        <v>0.17512993060076679</v>
      </c>
      <c r="AK25" s="35">
        <f t="shared" si="0"/>
        <v>0.17335647742683125</v>
      </c>
      <c r="AL25" s="35">
        <f t="shared" si="0"/>
        <v>0.17612832444328919</v>
      </c>
      <c r="AM25" s="35">
        <f t="shared" si="0"/>
        <v>0.17946721307183686</v>
      </c>
      <c r="AN25" s="35">
        <f t="shared" si="0"/>
        <v>0.17729463614075647</v>
      </c>
      <c r="AO25" s="35">
        <f t="shared" si="0"/>
        <v>0.17799028305817796</v>
      </c>
      <c r="AP25" s="35">
        <f t="shared" si="0"/>
        <v>0.18067370368605196</v>
      </c>
      <c r="AQ25" s="35">
        <f t="shared" si="0"/>
        <v>0.18070268875933287</v>
      </c>
      <c r="AR25" s="35">
        <f t="shared" si="0"/>
        <v>0.1807037510567342</v>
      </c>
      <c r="AS25" s="35">
        <f t="shared" si="0"/>
        <v>0.18239484916581919</v>
      </c>
      <c r="AT25" s="35">
        <f t="shared" si="0"/>
        <v>0.1825559884459059</v>
      </c>
      <c r="AU25" s="35">
        <f t="shared" si="0"/>
        <v>0.18387917975043055</v>
      </c>
      <c r="AV25" s="35">
        <f t="shared" si="0"/>
        <v>0.18404883077895423</v>
      </c>
      <c r="AW25" s="35">
        <f t="shared" si="0"/>
        <v>0.18294539099294047</v>
      </c>
      <c r="AX25" s="35">
        <f t="shared" si="0"/>
        <v>0.18437037586967936</v>
      </c>
      <c r="AY25" s="35">
        <f t="shared" si="0"/>
        <v>0.18365002855118884</v>
      </c>
      <c r="AZ25" s="35">
        <f t="shared" si="0"/>
        <v>0.18553345091565329</v>
      </c>
      <c r="BA25" s="35">
        <f t="shared" si="0"/>
        <v>0.18861151997382652</v>
      </c>
      <c r="BB25" s="35">
        <f t="shared" si="0"/>
        <v>0.19031440343162881</v>
      </c>
      <c r="BC25" s="36"/>
    </row>
    <row r="26" spans="1:63" ht="15.75" x14ac:dyDescent="0.25">
      <c r="B26" s="34" t="s">
        <v>184</v>
      </c>
      <c r="C26" s="34" t="str">
        <f>C48</f>
        <v>diesel exergy efficiency, y = 43.75(1-e^-0.025x)</v>
      </c>
      <c r="D26" s="35">
        <f>D48</f>
        <v>0.11121274215320702</v>
      </c>
      <c r="E26" s="35">
        <f t="shared" si="0"/>
        <v>0.11121274215320696</v>
      </c>
      <c r="F26" s="35">
        <f t="shared" si="0"/>
        <v>0.11121274215320702</v>
      </c>
      <c r="G26" s="35">
        <f t="shared" si="0"/>
        <v>0.11121274215320696</v>
      </c>
      <c r="H26" s="35">
        <f t="shared" si="0"/>
        <v>0.11121274215320696</v>
      </c>
      <c r="I26" s="35">
        <f t="shared" si="0"/>
        <v>0.11121274215320696</v>
      </c>
      <c r="J26" s="35">
        <f t="shared" si="0"/>
        <v>0.11121274215320696</v>
      </c>
      <c r="K26" s="35">
        <f t="shared" si="0"/>
        <v>0.11121274215320696</v>
      </c>
      <c r="L26" s="35">
        <f t="shared" si="0"/>
        <v>0.11121274215320696</v>
      </c>
      <c r="M26" s="35">
        <f t="shared" si="0"/>
        <v>0.11121274215320696</v>
      </c>
      <c r="N26" s="35">
        <f t="shared" si="0"/>
        <v>0.11091855298567591</v>
      </c>
      <c r="O26" s="35">
        <f t="shared" si="0"/>
        <v>0.1112598297595818</v>
      </c>
      <c r="P26" s="35">
        <f t="shared" si="0"/>
        <v>0.11247906298805355</v>
      </c>
      <c r="Q26" s="35">
        <f t="shared" si="0"/>
        <v>0.11048323335533489</v>
      </c>
      <c r="R26" s="35">
        <f t="shared" si="0"/>
        <v>0.11066095685956194</v>
      </c>
      <c r="S26" s="35">
        <f t="shared" si="0"/>
        <v>0.11082953057573279</v>
      </c>
      <c r="T26" s="35">
        <f t="shared" si="0"/>
        <v>0.11124380384610733</v>
      </c>
      <c r="U26" s="35">
        <f t="shared" si="0"/>
        <v>0.1089808837749896</v>
      </c>
      <c r="V26" s="35">
        <f t="shared" si="0"/>
        <v>0.10944209886842129</v>
      </c>
      <c r="W26" s="35">
        <f t="shared" si="0"/>
        <v>0.10702978848780774</v>
      </c>
      <c r="X26" s="35">
        <f t="shared" si="0"/>
        <v>0.11185287687011244</v>
      </c>
      <c r="Y26" s="35">
        <f t="shared" si="0"/>
        <v>0.11550014004931991</v>
      </c>
      <c r="Z26" s="35">
        <f t="shared" si="0"/>
        <v>0.11224594778959419</v>
      </c>
      <c r="AA26" s="35">
        <f t="shared" si="0"/>
        <v>0.10795078261415936</v>
      </c>
      <c r="AB26" s="35">
        <f t="shared" si="0"/>
        <v>0.10501699320997183</v>
      </c>
      <c r="AC26" s="35">
        <f t="shared" si="0"/>
        <v>0.10233983630011806</v>
      </c>
      <c r="AD26" s="35">
        <f t="shared" si="0"/>
        <v>9.7443268647691705E-2</v>
      </c>
      <c r="AE26" s="35">
        <f t="shared" si="0"/>
        <v>0.10356681606912473</v>
      </c>
      <c r="AF26" s="35">
        <f t="shared" si="0"/>
        <v>0.10585086800312826</v>
      </c>
      <c r="AG26" s="35">
        <f t="shared" si="0"/>
        <v>0.11637100925335452</v>
      </c>
      <c r="AH26" s="35">
        <f t="shared" si="0"/>
        <v>0.12608294413231028</v>
      </c>
      <c r="AI26" s="35">
        <f t="shared" si="0"/>
        <v>0.13282839736846638</v>
      </c>
      <c r="AJ26" s="35">
        <f t="shared" si="0"/>
        <v>0.13729003632412218</v>
      </c>
      <c r="AK26" s="35">
        <f t="shared" si="0"/>
        <v>0.143435744452453</v>
      </c>
      <c r="AL26" s="35">
        <f t="shared" si="0"/>
        <v>0.15207088893372989</v>
      </c>
      <c r="AM26" s="35">
        <f t="shared" si="0"/>
        <v>0.16159089797073409</v>
      </c>
      <c r="AN26" s="35">
        <f t="shared" si="0"/>
        <v>0.16439794803510263</v>
      </c>
      <c r="AO26" s="35">
        <f t="shared" si="0"/>
        <v>0.16913905373674695</v>
      </c>
      <c r="AP26" s="35">
        <f t="shared" si="0"/>
        <v>0.17468419641627367</v>
      </c>
      <c r="AQ26" s="35">
        <f t="shared" si="0"/>
        <v>0.18011953210604217</v>
      </c>
      <c r="AR26" s="35">
        <f t="shared" si="0"/>
        <v>0.18338118355356364</v>
      </c>
      <c r="AS26" s="35">
        <f t="shared" si="0"/>
        <v>0.18776244552961463</v>
      </c>
      <c r="AT26" s="35">
        <f t="shared" si="0"/>
        <v>0.19088361211917754</v>
      </c>
      <c r="AU26" s="35">
        <f t="shared" si="0"/>
        <v>0.19466364667455832</v>
      </c>
      <c r="AV26" s="35">
        <f t="shared" si="0"/>
        <v>0.1986263667640005</v>
      </c>
      <c r="AW26" s="35">
        <f t="shared" si="0"/>
        <v>0.20022174150248401</v>
      </c>
      <c r="AX26" s="35">
        <f t="shared" si="0"/>
        <v>0.20467516740789446</v>
      </c>
      <c r="AY26" s="35">
        <f t="shared" si="0"/>
        <v>0.20686698389112135</v>
      </c>
      <c r="AZ26" s="35">
        <f t="shared" si="0"/>
        <v>0.21513059135750168</v>
      </c>
      <c r="BA26" s="35">
        <f t="shared" si="0"/>
        <v>0.2199897864503994</v>
      </c>
      <c r="BB26" s="35">
        <f t="shared" si="0"/>
        <v>0.2209986144578612</v>
      </c>
      <c r="BC26" s="36"/>
    </row>
    <row r="27" spans="1:63" s="37" customFormat="1" x14ac:dyDescent="0.25">
      <c r="B27" s="38" t="s">
        <v>185</v>
      </c>
      <c r="C27" s="39" t="s">
        <v>186</v>
      </c>
      <c r="D27" s="40">
        <f>35*(1-EXP(-0.025*D39))/100</f>
        <v>0.21066572223769853</v>
      </c>
      <c r="E27" s="40">
        <f t="shared" ref="E27:BJ28" si="1">35*(1-EXP(-0.025*E39))/100</f>
        <v>0.21128941788248043</v>
      </c>
      <c r="F27" s="40">
        <f t="shared" si="1"/>
        <v>0.21191333920497701</v>
      </c>
      <c r="G27" s="40">
        <f t="shared" si="1"/>
        <v>0.21253747261499017</v>
      </c>
      <c r="H27" s="40">
        <f t="shared" si="1"/>
        <v>0.21316180444179583</v>
      </c>
      <c r="I27" s="40">
        <f t="shared" si="1"/>
        <v>0.21378632093462979</v>
      </c>
      <c r="J27" s="40">
        <f t="shared" si="1"/>
        <v>0.21441100826318832</v>
      </c>
      <c r="K27" s="40">
        <f t="shared" si="1"/>
        <v>0.21503585251814206</v>
      </c>
      <c r="L27" s="40">
        <f t="shared" si="1"/>
        <v>0.21566083971166505</v>
      </c>
      <c r="M27" s="40">
        <f t="shared" si="1"/>
        <v>0.21628595577797724</v>
      </c>
      <c r="N27" s="40">
        <f t="shared" si="1"/>
        <v>0.21691118657390213</v>
      </c>
      <c r="O27" s="40">
        <f t="shared" si="1"/>
        <v>0.21596756907662734</v>
      </c>
      <c r="P27" s="40">
        <f t="shared" si="1"/>
        <v>0.21960114191949759</v>
      </c>
      <c r="Q27" s="40">
        <f t="shared" si="1"/>
        <v>0.21710729192942196</v>
      </c>
      <c r="R27" s="40">
        <f t="shared" si="1"/>
        <v>0.21802259747709357</v>
      </c>
      <c r="S27" s="40">
        <f t="shared" si="1"/>
        <v>0.22575712376045887</v>
      </c>
      <c r="T27" s="40">
        <f t="shared" si="1"/>
        <v>0.22231057885006306</v>
      </c>
      <c r="U27" s="40">
        <f t="shared" si="1"/>
        <v>0.22406821742831134</v>
      </c>
      <c r="V27" s="40">
        <f t="shared" si="1"/>
        <v>0.2197330876707114</v>
      </c>
      <c r="W27" s="40">
        <f t="shared" si="1"/>
        <v>0.21820314092517162</v>
      </c>
      <c r="X27" s="40">
        <f t="shared" si="1"/>
        <v>0.22316663901345188</v>
      </c>
      <c r="Y27" s="40">
        <f t="shared" si="1"/>
        <v>0.2275508830648256</v>
      </c>
      <c r="Z27" s="40">
        <f t="shared" si="1"/>
        <v>0.22726892887894581</v>
      </c>
      <c r="AA27" s="40">
        <f t="shared" si="1"/>
        <v>0.22832985101676964</v>
      </c>
      <c r="AB27" s="40">
        <f t="shared" si="1"/>
        <v>0.22786768571411378</v>
      </c>
      <c r="AC27" s="40">
        <f t="shared" si="1"/>
        <v>0.23162091473038177</v>
      </c>
      <c r="AD27" s="40">
        <f t="shared" si="1"/>
        <v>0.23135000121143645</v>
      </c>
      <c r="AE27" s="40">
        <f t="shared" si="1"/>
        <v>0.23633891058248224</v>
      </c>
      <c r="AF27" s="40">
        <f t="shared" si="1"/>
        <v>0.23603936990344127</v>
      </c>
      <c r="AG27" s="40">
        <f t="shared" si="1"/>
        <v>0.245605963296887</v>
      </c>
      <c r="AH27" s="40">
        <f t="shared" si="1"/>
        <v>0.24093219316582887</v>
      </c>
      <c r="AI27" s="40">
        <f t="shared" si="1"/>
        <v>0.24146440729299207</v>
      </c>
      <c r="AJ27" s="40">
        <f t="shared" si="1"/>
        <v>0.23701176763607865</v>
      </c>
      <c r="AK27" s="40">
        <f t="shared" si="1"/>
        <v>0.23311740610277465</v>
      </c>
      <c r="AL27" s="40">
        <f t="shared" si="1"/>
        <v>0.23626310225738945</v>
      </c>
      <c r="AM27" s="40">
        <f t="shared" si="1"/>
        <v>0.23911836427076558</v>
      </c>
      <c r="AN27" s="40">
        <f t="shared" si="1"/>
        <v>0.23422367215607071</v>
      </c>
      <c r="AO27" s="40">
        <f t="shared" si="1"/>
        <v>0.23599048133993086</v>
      </c>
      <c r="AP27" s="40">
        <f t="shared" si="1"/>
        <v>0.23745359000524002</v>
      </c>
      <c r="AQ27" s="40">
        <f t="shared" si="1"/>
        <v>0.2338464307991083</v>
      </c>
      <c r="AR27" s="40">
        <f t="shared" si="1"/>
        <v>0.23402694513528133</v>
      </c>
      <c r="AS27" s="40">
        <f t="shared" si="1"/>
        <v>0.23987858941171114</v>
      </c>
      <c r="AT27" s="40">
        <f t="shared" si="1"/>
        <v>0.23861959172703753</v>
      </c>
      <c r="AU27" s="40">
        <f t="shared" si="1"/>
        <v>0.23951914255892942</v>
      </c>
      <c r="AV27" s="40">
        <f t="shared" si="1"/>
        <v>0.24315647313669533</v>
      </c>
      <c r="AW27" s="40">
        <f t="shared" si="1"/>
        <v>0.24133202405425394</v>
      </c>
      <c r="AX27" s="40">
        <f t="shared" si="1"/>
        <v>0.24646619798990485</v>
      </c>
      <c r="AY27" s="40">
        <f t="shared" si="1"/>
        <v>0.24600371280985353</v>
      </c>
      <c r="AZ27" s="40">
        <f t="shared" si="1"/>
        <v>0.24548031354253269</v>
      </c>
      <c r="BA27" s="40">
        <f t="shared" si="1"/>
        <v>0.25295799313390932</v>
      </c>
      <c r="BB27" s="40">
        <f t="shared" si="1"/>
        <v>0.25627107865876014</v>
      </c>
      <c r="BC27" s="40">
        <f t="shared" si="1"/>
        <v>0.25724376377177294</v>
      </c>
      <c r="BD27" s="40">
        <f t="shared" si="1"/>
        <v>0.26109197247310278</v>
      </c>
      <c r="BE27" s="40">
        <f t="shared" si="1"/>
        <v>0.26332415624853028</v>
      </c>
      <c r="BF27" s="40">
        <f t="shared" si="1"/>
        <v>0.26423287809489254</v>
      </c>
      <c r="BG27" s="40">
        <f t="shared" si="1"/>
        <v>0.26304664368496994</v>
      </c>
      <c r="BH27" s="40">
        <f t="shared" si="1"/>
        <v>0.26604482537281854</v>
      </c>
      <c r="BI27" s="40">
        <f t="shared" si="1"/>
        <v>0.26548008502582765</v>
      </c>
      <c r="BJ27" s="40">
        <f t="shared" si="1"/>
        <v>0.26827358211888752</v>
      </c>
      <c r="BK27" s="41"/>
    </row>
    <row r="28" spans="1:63" s="37" customFormat="1" x14ac:dyDescent="0.25">
      <c r="B28" s="38" t="s">
        <v>185</v>
      </c>
      <c r="C28" s="39" t="s">
        <v>187</v>
      </c>
      <c r="D28" s="40">
        <f>35*(1-EXP(-0.025*D40))/100</f>
        <v>0.10769496290530746</v>
      </c>
      <c r="E28" s="40">
        <f t="shared" si="1"/>
        <v>0.10789569974769969</v>
      </c>
      <c r="F28" s="40">
        <f t="shared" si="1"/>
        <v>0.10810362137103935</v>
      </c>
      <c r="G28" s="40">
        <f t="shared" si="1"/>
        <v>0.10831092416356271</v>
      </c>
      <c r="H28" s="40">
        <f t="shared" si="1"/>
        <v>0.10850052739822642</v>
      </c>
      <c r="I28" s="40">
        <f t="shared" si="1"/>
        <v>0.10869645589588525</v>
      </c>
      <c r="J28" s="40">
        <f t="shared" si="1"/>
        <v>0.10888761588143157</v>
      </c>
      <c r="K28" s="40">
        <f t="shared" si="1"/>
        <v>0.1090771323066855</v>
      </c>
      <c r="L28" s="40">
        <f t="shared" si="1"/>
        <v>0.10926004912754105</v>
      </c>
      <c r="M28" s="40">
        <f t="shared" si="1"/>
        <v>0.10944027285110186</v>
      </c>
      <c r="N28" s="42">
        <f t="shared" si="1"/>
        <v>0.10961444345469096</v>
      </c>
      <c r="O28" s="40">
        <f t="shared" si="1"/>
        <v>0.11041202433050117</v>
      </c>
      <c r="P28" s="40">
        <f t="shared" si="1"/>
        <v>0.10970227988141405</v>
      </c>
      <c r="Q28" s="40">
        <f t="shared" si="1"/>
        <v>0.10853950249434183</v>
      </c>
      <c r="R28" s="40">
        <f t="shared" si="1"/>
        <v>0.10934201537199612</v>
      </c>
      <c r="S28" s="40">
        <f t="shared" si="1"/>
        <v>0.11218624884701478</v>
      </c>
      <c r="T28" s="40">
        <f t="shared" si="1"/>
        <v>0.11246835069054339</v>
      </c>
      <c r="U28" s="40">
        <f t="shared" si="1"/>
        <v>0.1115216782393237</v>
      </c>
      <c r="V28" s="40">
        <f t="shared" si="1"/>
        <v>0.10999807452313271</v>
      </c>
      <c r="W28" s="40">
        <f t="shared" si="1"/>
        <v>0.10794510275806733</v>
      </c>
      <c r="X28" s="40">
        <f t="shared" si="1"/>
        <v>0.11148286152446531</v>
      </c>
      <c r="Y28" s="40">
        <f t="shared" si="1"/>
        <v>0.11552489514200971</v>
      </c>
      <c r="Z28" s="40">
        <f t="shared" si="1"/>
        <v>0.11565812716692946</v>
      </c>
      <c r="AA28" s="40">
        <f t="shared" si="1"/>
        <v>0.11527611012296753</v>
      </c>
      <c r="AB28" s="40">
        <f t="shared" si="1"/>
        <v>0.11690807560871951</v>
      </c>
      <c r="AC28" s="40">
        <f t="shared" si="1"/>
        <v>0.11834181663669302</v>
      </c>
      <c r="AD28" s="40">
        <f t="shared" si="1"/>
        <v>0.11811683206520587</v>
      </c>
      <c r="AE28" s="40">
        <f t="shared" si="1"/>
        <v>0.12136967006967819</v>
      </c>
      <c r="AF28" s="40">
        <f t="shared" si="1"/>
        <v>0.12304241013893071</v>
      </c>
      <c r="AG28" s="40">
        <f t="shared" si="1"/>
        <v>0.12652406238669353</v>
      </c>
      <c r="AH28" s="40">
        <f t="shared" si="1"/>
        <v>0.12358414081211422</v>
      </c>
      <c r="AI28" s="40">
        <f t="shared" si="1"/>
        <v>0.1236674891595162</v>
      </c>
      <c r="AJ28" s="40">
        <f t="shared" si="1"/>
        <v>0.12218185574877749</v>
      </c>
      <c r="AK28" s="40">
        <f t="shared" si="1"/>
        <v>0.12089685317682072</v>
      </c>
      <c r="AL28" s="40">
        <f t="shared" si="1"/>
        <v>0.12322597434067804</v>
      </c>
      <c r="AM28" s="40">
        <f t="shared" si="1"/>
        <v>0.12603458485411642</v>
      </c>
      <c r="AN28" s="40">
        <f t="shared" si="1"/>
        <v>0.12435891909597477</v>
      </c>
      <c r="AO28" s="40">
        <f t="shared" si="1"/>
        <v>0.12495373883034888</v>
      </c>
      <c r="AP28" s="40">
        <f t="shared" si="1"/>
        <v>0.12717596291699007</v>
      </c>
      <c r="AQ28" s="40">
        <f t="shared" si="1"/>
        <v>0.12727239947989888</v>
      </c>
      <c r="AR28" s="40">
        <f t="shared" si="1"/>
        <v>0.12732423591037914</v>
      </c>
      <c r="AS28" s="40">
        <f t="shared" si="1"/>
        <v>0.12875110742475271</v>
      </c>
      <c r="AT28" s="40">
        <f t="shared" si="1"/>
        <v>0.12903729760057492</v>
      </c>
      <c r="AU28" s="40">
        <f t="shared" si="1"/>
        <v>0.13026676874330645</v>
      </c>
      <c r="AV28" s="40">
        <f t="shared" si="1"/>
        <v>0.13062120493302992</v>
      </c>
      <c r="AW28" s="40">
        <f t="shared" si="1"/>
        <v>0.12995131627698689</v>
      </c>
      <c r="AX28" s="40">
        <f t="shared" si="1"/>
        <v>0.13144386786249959</v>
      </c>
      <c r="AY28" s="40">
        <f t="shared" si="1"/>
        <v>0.13107696213238482</v>
      </c>
      <c r="AZ28" s="40">
        <f t="shared" si="1"/>
        <v>0.13305996142723395</v>
      </c>
      <c r="BA28" s="40">
        <f t="shared" si="1"/>
        <v>0.13582502453787784</v>
      </c>
      <c r="BB28" s="40">
        <f t="shared" si="1"/>
        <v>0.13769553339106447</v>
      </c>
      <c r="BC28" s="40">
        <f t="shared" si="1"/>
        <v>0.13977199824845485</v>
      </c>
      <c r="BD28" s="40">
        <f t="shared" si="1"/>
        <v>0.14063618107686493</v>
      </c>
      <c r="BE28" s="40">
        <f t="shared" si="1"/>
        <v>0.14293162649929322</v>
      </c>
      <c r="BF28" s="40">
        <f t="shared" si="1"/>
        <v>0.14555683461421171</v>
      </c>
      <c r="BG28" s="40">
        <f t="shared" si="1"/>
        <v>0.14669477031299358</v>
      </c>
      <c r="BH28" s="40">
        <f t="shared" si="1"/>
        <v>0.14764864897165914</v>
      </c>
      <c r="BI28" s="40">
        <f t="shared" si="1"/>
        <v>0.1499745753417516</v>
      </c>
      <c r="BJ28" s="40">
        <f t="shared" si="1"/>
        <v>0.15337770756692493</v>
      </c>
      <c r="BK28" s="41"/>
    </row>
    <row r="29" spans="1:63" s="37" customFormat="1" x14ac:dyDescent="0.25">
      <c r="B29" s="38" t="s">
        <v>185</v>
      </c>
      <c r="C29" s="39" t="s">
        <v>188</v>
      </c>
      <c r="D29" s="40">
        <f>43.75*(1-EXP(-0.025*D41))/100</f>
        <v>0.1391538743530577</v>
      </c>
      <c r="E29" s="40">
        <f t="shared" ref="E29:BJ29" si="2">43.75*(1-EXP(-0.025*E41))/100</f>
        <v>0.13973162675931003</v>
      </c>
      <c r="F29" s="40">
        <f t="shared" si="2"/>
        <v>0.14030842335426183</v>
      </c>
      <c r="G29" s="40">
        <f t="shared" si="2"/>
        <v>0.14088449304599199</v>
      </c>
      <c r="H29" s="40">
        <f t="shared" si="2"/>
        <v>0.14146004442495241</v>
      </c>
      <c r="I29" s="40">
        <f t="shared" si="2"/>
        <v>0.14203526801326</v>
      </c>
      <c r="J29" s="40">
        <f t="shared" si="2"/>
        <v>0.14261033822060551</v>
      </c>
      <c r="K29" s="40">
        <f t="shared" si="2"/>
        <v>0.14318541505044741</v>
      </c>
      <c r="L29" s="40">
        <f t="shared" si="2"/>
        <v>0.14376064559288715</v>
      </c>
      <c r="M29" s="40">
        <f t="shared" si="2"/>
        <v>0.1443361653346811</v>
      </c>
      <c r="N29" s="42">
        <f t="shared" si="2"/>
        <v>0.1448936286610889</v>
      </c>
      <c r="O29" s="40">
        <f t="shared" si="2"/>
        <v>0.1462470147967887</v>
      </c>
      <c r="P29" s="40">
        <f t="shared" si="2"/>
        <v>0.1459453839457294</v>
      </c>
      <c r="Q29" s="40">
        <f t="shared" si="2"/>
        <v>0.14463621490638207</v>
      </c>
      <c r="R29" s="40">
        <f t="shared" si="2"/>
        <v>0.14511806198391328</v>
      </c>
      <c r="S29" s="40">
        <f t="shared" si="2"/>
        <v>0.14910785693818476</v>
      </c>
      <c r="T29" s="40">
        <f t="shared" si="2"/>
        <v>0.15001099856675248</v>
      </c>
      <c r="U29" s="40">
        <f t="shared" si="2"/>
        <v>0.14852231699995883</v>
      </c>
      <c r="V29" s="40">
        <f t="shared" si="2"/>
        <v>0.14749882712517989</v>
      </c>
      <c r="W29" s="40">
        <f t="shared" si="2"/>
        <v>0.14503322762323392</v>
      </c>
      <c r="X29" s="40">
        <f t="shared" si="2"/>
        <v>0.15015517699648767</v>
      </c>
      <c r="Y29" s="40">
        <f t="shared" si="2"/>
        <v>0.1550678810347331</v>
      </c>
      <c r="Z29" s="40">
        <f t="shared" si="2"/>
        <v>0.15475754086078986</v>
      </c>
      <c r="AA29" s="40">
        <f t="shared" si="2"/>
        <v>0.15390197653132728</v>
      </c>
      <c r="AB29" s="40">
        <f t="shared" si="2"/>
        <v>0.15491382497868758</v>
      </c>
      <c r="AC29" s="40">
        <f t="shared" si="2"/>
        <v>0.15680388262822947</v>
      </c>
      <c r="AD29" s="40">
        <f t="shared" si="2"/>
        <v>0.15487384824200662</v>
      </c>
      <c r="AE29" s="40">
        <f t="shared" si="2"/>
        <v>0.16183084407033771</v>
      </c>
      <c r="AF29" s="40">
        <f t="shared" si="2"/>
        <v>0.16259884772578345</v>
      </c>
      <c r="AG29" s="40">
        <f t="shared" si="2"/>
        <v>0.15589092703470675</v>
      </c>
      <c r="AH29" s="40">
        <f t="shared" si="2"/>
        <v>0.16024514087113173</v>
      </c>
      <c r="AI29" s="40">
        <f t="shared" si="2"/>
        <v>0.16017939514888296</v>
      </c>
      <c r="AJ29" s="40">
        <f t="shared" si="2"/>
        <v>0.15865472921990489</v>
      </c>
      <c r="AK29" s="40">
        <f t="shared" si="2"/>
        <v>0.15841859628127289</v>
      </c>
      <c r="AL29" s="40">
        <f t="shared" si="2"/>
        <v>0.1611450425314504</v>
      </c>
      <c r="AM29" s="40">
        <f t="shared" si="2"/>
        <v>0.16502855163524408</v>
      </c>
      <c r="AN29" s="40">
        <f t="shared" si="2"/>
        <v>0.16287982764153358</v>
      </c>
      <c r="AO29" s="40">
        <f t="shared" si="2"/>
        <v>0.16312203417740115</v>
      </c>
      <c r="AP29" s="40">
        <f t="shared" si="2"/>
        <v>0.16554159960153814</v>
      </c>
      <c r="AQ29" s="40">
        <f t="shared" si="2"/>
        <v>0.16616186525706289</v>
      </c>
      <c r="AR29" s="40">
        <f t="shared" si="2"/>
        <v>0.16612350206811932</v>
      </c>
      <c r="AS29" s="40">
        <f t="shared" si="2"/>
        <v>0.16825934341168441</v>
      </c>
      <c r="AT29" s="40">
        <f t="shared" si="2"/>
        <v>0.16923035226469252</v>
      </c>
      <c r="AU29" s="40">
        <f t="shared" si="2"/>
        <v>0.17098052106040262</v>
      </c>
      <c r="AV29" s="40">
        <f t="shared" si="2"/>
        <v>0.17211155763833247</v>
      </c>
      <c r="AW29" s="40">
        <f t="shared" si="2"/>
        <v>0.1715735628379968</v>
      </c>
      <c r="AX29" s="40">
        <f t="shared" si="2"/>
        <v>0.17383899321376822</v>
      </c>
      <c r="AY29" s="40">
        <f t="shared" si="2"/>
        <v>0.17395417595710999</v>
      </c>
      <c r="AZ29" s="40">
        <f t="shared" si="2"/>
        <v>0.17812566514196362</v>
      </c>
      <c r="BA29" s="40">
        <f t="shared" si="2"/>
        <v>0.18034858180955229</v>
      </c>
      <c r="BB29" s="40">
        <f t="shared" si="2"/>
        <v>0.1815564989755302</v>
      </c>
      <c r="BC29" s="40">
        <f t="shared" si="2"/>
        <v>0.18382754562673775</v>
      </c>
      <c r="BD29" s="40">
        <f t="shared" si="2"/>
        <v>0.18437780464306969</v>
      </c>
      <c r="BE29" s="40">
        <f t="shared" si="2"/>
        <v>0.1871254788362802</v>
      </c>
      <c r="BF29" s="40">
        <f t="shared" si="2"/>
        <v>0.1898282340017716</v>
      </c>
      <c r="BG29" s="40">
        <f t="shared" si="2"/>
        <v>0.19037757905422648</v>
      </c>
      <c r="BH29" s="40">
        <f t="shared" si="2"/>
        <v>0.190458291754178</v>
      </c>
      <c r="BI29" s="40">
        <f t="shared" si="2"/>
        <v>0.19318380213649683</v>
      </c>
      <c r="BJ29" s="40">
        <f t="shared" si="2"/>
        <v>0.19699143218185244</v>
      </c>
      <c r="BK29" s="41"/>
    </row>
    <row r="30" spans="1:63" s="37" customFormat="1" x14ac:dyDescent="0.25">
      <c r="B30" s="38" t="s">
        <v>185</v>
      </c>
      <c r="C30" s="39" t="s">
        <v>189</v>
      </c>
      <c r="D30" s="40">
        <f>50*(1-EXP(-0.13*D42))/100</f>
        <v>0.20625414176561679</v>
      </c>
      <c r="E30" s="40">
        <f t="shared" ref="E30:BJ31" si="3">50*(1-EXP(-0.13*E42))/100</f>
        <v>0.21436333807075292</v>
      </c>
      <c r="F30" s="40">
        <f t="shared" si="3"/>
        <v>0.22265760476580621</v>
      </c>
      <c r="G30" s="40">
        <f t="shared" si="3"/>
        <v>0.23112834998814555</v>
      </c>
      <c r="H30" s="40">
        <f t="shared" si="3"/>
        <v>0.23976557311547667</v>
      </c>
      <c r="I30" s="40">
        <f t="shared" si="3"/>
        <v>0.24855780614777431</v>
      </c>
      <c r="J30" s="40">
        <f t="shared" si="3"/>
        <v>0.25749206429415672</v>
      </c>
      <c r="K30" s="40">
        <f t="shared" si="3"/>
        <v>0.26655380787385718</v>
      </c>
      <c r="L30" s="40">
        <f t="shared" si="3"/>
        <v>0.27572691778243696</v>
      </c>
      <c r="M30" s="40">
        <f t="shared" si="3"/>
        <v>0.28499368688821025</v>
      </c>
      <c r="N30" s="42">
        <f t="shared" si="3"/>
        <v>0.29433482979953851</v>
      </c>
      <c r="O30" s="40">
        <f t="shared" si="3"/>
        <v>0.2929618639744247</v>
      </c>
      <c r="P30" s="40">
        <f t="shared" si="3"/>
        <v>0.29399782123437979</v>
      </c>
      <c r="Q30" s="40">
        <f t="shared" si="3"/>
        <v>0.28847343344699417</v>
      </c>
      <c r="R30" s="40">
        <f t="shared" si="3"/>
        <v>0.28535323694952197</v>
      </c>
      <c r="S30" s="40">
        <f t="shared" si="3"/>
        <v>0.28472923223878832</v>
      </c>
      <c r="T30" s="40">
        <f t="shared" si="3"/>
        <v>0.28519871257822771</v>
      </c>
      <c r="U30" s="40">
        <f t="shared" si="3"/>
        <v>0.27862412842979223</v>
      </c>
      <c r="V30" s="40">
        <f t="shared" si="3"/>
        <v>0.27891105174861192</v>
      </c>
      <c r="W30" s="40">
        <f t="shared" si="3"/>
        <v>0.2741058469489156</v>
      </c>
      <c r="X30" s="40">
        <f t="shared" si="3"/>
        <v>0.28347706586165239</v>
      </c>
      <c r="Y30" s="40">
        <f t="shared" si="3"/>
        <v>0.28796787506449228</v>
      </c>
      <c r="Z30" s="40">
        <f t="shared" si="3"/>
        <v>0.27876133977850903</v>
      </c>
      <c r="AA30" s="40">
        <f t="shared" si="3"/>
        <v>0.26977833979057264</v>
      </c>
      <c r="AB30" s="40">
        <f t="shared" si="3"/>
        <v>0.26088989488500541</v>
      </c>
      <c r="AC30" s="40">
        <f t="shared" si="3"/>
        <v>0.24982665768570456</v>
      </c>
      <c r="AD30" s="40">
        <f t="shared" si="3"/>
        <v>0.23573119177965376</v>
      </c>
      <c r="AE30" s="40">
        <f t="shared" si="3"/>
        <v>0.24315513369166714</v>
      </c>
      <c r="AF30" s="40">
        <f t="shared" si="3"/>
        <v>0.23896796721736419</v>
      </c>
      <c r="AG30" s="40">
        <f t="shared" si="3"/>
        <v>0.25047751090638337</v>
      </c>
      <c r="AH30" s="40">
        <f t="shared" si="3"/>
        <v>0.24848018656349347</v>
      </c>
      <c r="AI30" s="40">
        <f t="shared" si="3"/>
        <v>0.25386590209564397</v>
      </c>
      <c r="AJ30" s="40">
        <f t="shared" si="3"/>
        <v>0.24996785870949256</v>
      </c>
      <c r="AK30" s="40">
        <f t="shared" si="3"/>
        <v>0.25096290869438342</v>
      </c>
      <c r="AL30" s="40">
        <f t="shared" si="3"/>
        <v>0.24893042116408015</v>
      </c>
      <c r="AM30" s="40">
        <f t="shared" si="3"/>
        <v>0.25608908340428782</v>
      </c>
      <c r="AN30" s="40">
        <f t="shared" si="3"/>
        <v>0.25645255325714544</v>
      </c>
      <c r="AO30" s="40">
        <f t="shared" si="3"/>
        <v>0.26021189050349336</v>
      </c>
      <c r="AP30" s="40">
        <f t="shared" si="3"/>
        <v>0.26730193279572673</v>
      </c>
      <c r="AQ30" s="40">
        <f t="shared" si="3"/>
        <v>0.27354555695030236</v>
      </c>
      <c r="AR30" s="40">
        <f t="shared" si="3"/>
        <v>0.27632465750858737</v>
      </c>
      <c r="AS30" s="40">
        <f t="shared" si="3"/>
        <v>0.27548762510229341</v>
      </c>
      <c r="AT30" s="40">
        <f t="shared" si="3"/>
        <v>0.27308945967800968</v>
      </c>
      <c r="AU30" s="40">
        <f t="shared" si="3"/>
        <v>0.27216593178016302</v>
      </c>
      <c r="AV30" s="40">
        <f t="shared" si="3"/>
        <v>0.27390861541949796</v>
      </c>
      <c r="AW30" s="40">
        <f t="shared" si="3"/>
        <v>0.26985527162359191</v>
      </c>
      <c r="AX30" s="40">
        <f t="shared" si="3"/>
        <v>0.26957372208913732</v>
      </c>
      <c r="AY30" s="40">
        <f t="shared" si="3"/>
        <v>0.26994527516187083</v>
      </c>
      <c r="AZ30" s="40">
        <f t="shared" si="3"/>
        <v>0.27901230419627332</v>
      </c>
      <c r="BA30" s="40">
        <f t="shared" si="3"/>
        <v>0.27820437956297184</v>
      </c>
      <c r="BB30" s="40">
        <f t="shared" si="3"/>
        <v>0.27416375809213733</v>
      </c>
      <c r="BC30" s="40">
        <f t="shared" si="3"/>
        <v>0.27440055916354439</v>
      </c>
      <c r="BD30" s="40">
        <f t="shared" si="3"/>
        <v>0.26957463971845869</v>
      </c>
      <c r="BE30" s="40">
        <f t="shared" si="3"/>
        <v>0.27119057530584112</v>
      </c>
      <c r="BF30" s="40">
        <f t="shared" si="3"/>
        <v>0.27087490146620585</v>
      </c>
      <c r="BG30" s="40">
        <f t="shared" si="3"/>
        <v>0.26812865245445505</v>
      </c>
      <c r="BH30" s="40">
        <f t="shared" si="3"/>
        <v>0.2641526910271273</v>
      </c>
      <c r="BI30" s="40">
        <f t="shared" si="3"/>
        <v>0.26421231574353765</v>
      </c>
      <c r="BJ30" s="42">
        <f t="shared" si="3"/>
        <v>0.26573713644085517</v>
      </c>
      <c r="BK30" s="41"/>
    </row>
    <row r="31" spans="1:63" s="37" customFormat="1" x14ac:dyDescent="0.25">
      <c r="B31" s="38" t="s">
        <v>185</v>
      </c>
      <c r="C31" s="39" t="s">
        <v>190</v>
      </c>
      <c r="D31" s="40">
        <f>50*(1-EXP(-0.13*D43))/100</f>
        <v>0.24670520672063156</v>
      </c>
      <c r="E31" s="40">
        <f t="shared" si="3"/>
        <v>0.25378173125406267</v>
      </c>
      <c r="F31" s="40">
        <f t="shared" si="3"/>
        <v>0.26094296180156229</v>
      </c>
      <c r="G31" s="40">
        <f t="shared" si="3"/>
        <v>0.26818118494751719</v>
      </c>
      <c r="H31" s="40">
        <f t="shared" si="3"/>
        <v>0.27548805110977587</v>
      </c>
      <c r="I31" s="40">
        <f t="shared" si="3"/>
        <v>0.28285457329759567</v>
      </c>
      <c r="J31" s="40">
        <f t="shared" si="3"/>
        <v>0.29027113064882692</v>
      </c>
      <c r="K31" s="40">
        <f t="shared" si="3"/>
        <v>0.29772747724651272</v>
      </c>
      <c r="L31" s="40">
        <f t="shared" si="3"/>
        <v>0.30521275671000259</v>
      </c>
      <c r="M31" s="40">
        <f t="shared" si="3"/>
        <v>0.312715523041323</v>
      </c>
      <c r="N31" s="42">
        <f t="shared" si="3"/>
        <v>0.32022376818259313</v>
      </c>
      <c r="O31" s="40">
        <f t="shared" si="3"/>
        <v>0.31981301365543657</v>
      </c>
      <c r="P31" s="40">
        <f t="shared" si="3"/>
        <v>0.32147290925084809</v>
      </c>
      <c r="Q31" s="40">
        <f t="shared" si="3"/>
        <v>0.31580467496711884</v>
      </c>
      <c r="R31" s="40">
        <f t="shared" si="3"/>
        <v>0.32246609877975785</v>
      </c>
      <c r="S31" s="40">
        <f t="shared" si="3"/>
        <v>0.31825323799574329</v>
      </c>
      <c r="T31" s="40">
        <f t="shared" si="3"/>
        <v>0.32435217508562098</v>
      </c>
      <c r="U31" s="40">
        <f t="shared" si="3"/>
        <v>0.31547016797764443</v>
      </c>
      <c r="V31" s="40">
        <f t="shared" si="3"/>
        <v>0.32218552526271005</v>
      </c>
      <c r="W31" s="40">
        <f t="shared" si="3"/>
        <v>0.31811523623691706</v>
      </c>
      <c r="X31" s="40">
        <f t="shared" si="3"/>
        <v>0.3213288102250953</v>
      </c>
      <c r="Y31" s="40">
        <f t="shared" si="3"/>
        <v>0.32685351423616715</v>
      </c>
      <c r="Z31" s="40">
        <f t="shared" si="3"/>
        <v>0.31753780619697469</v>
      </c>
      <c r="AA31" s="40">
        <f t="shared" si="3"/>
        <v>0.30707942521262999</v>
      </c>
      <c r="AB31" s="40">
        <f t="shared" si="3"/>
        <v>0.29969215289178242</v>
      </c>
      <c r="AC31" s="40">
        <f t="shared" si="3"/>
        <v>0.29373834967208468</v>
      </c>
      <c r="AD31" s="40">
        <f t="shared" si="3"/>
        <v>0.27880728171479885</v>
      </c>
      <c r="AE31" s="40">
        <f t="shared" si="3"/>
        <v>0.28214563606909909</v>
      </c>
      <c r="AF31" s="40">
        <f t="shared" si="3"/>
        <v>0.28277877793300465</v>
      </c>
      <c r="AG31" s="40">
        <f t="shared" si="3"/>
        <v>0.27273626654277394</v>
      </c>
      <c r="AH31" s="40">
        <f t="shared" si="3"/>
        <v>0.27592387113514028</v>
      </c>
      <c r="AI31" s="40">
        <f t="shared" si="3"/>
        <v>0.2774965062536805</v>
      </c>
      <c r="AJ31" s="40">
        <f t="shared" si="3"/>
        <v>0.27367195023486957</v>
      </c>
      <c r="AK31" s="40">
        <f t="shared" si="3"/>
        <v>0.27400462083169652</v>
      </c>
      <c r="AL31" s="40">
        <f t="shared" si="3"/>
        <v>0.2716441430239529</v>
      </c>
      <c r="AM31" s="40">
        <f t="shared" si="3"/>
        <v>0.27516617025700901</v>
      </c>
      <c r="AN31" s="40">
        <f t="shared" si="3"/>
        <v>0.27881728414217677</v>
      </c>
      <c r="AO31" s="40">
        <f t="shared" si="3"/>
        <v>0.28446429813055563</v>
      </c>
      <c r="AP31" s="40">
        <f t="shared" si="3"/>
        <v>0.29486015000054244</v>
      </c>
      <c r="AQ31" s="40">
        <f t="shared" si="3"/>
        <v>0.3006503008099547</v>
      </c>
      <c r="AR31" s="40">
        <f t="shared" si="3"/>
        <v>0.30663847100017971</v>
      </c>
      <c r="AS31" s="40">
        <f t="shared" si="3"/>
        <v>0.31110730916121437</v>
      </c>
      <c r="AT31" s="40">
        <f t="shared" si="3"/>
        <v>0.31168966639384199</v>
      </c>
      <c r="AU31" s="40">
        <f t="shared" si="3"/>
        <v>0.3125541869499876</v>
      </c>
      <c r="AV31" s="40">
        <f t="shared" si="3"/>
        <v>0.31517484864195566</v>
      </c>
      <c r="AW31" s="40">
        <f t="shared" si="3"/>
        <v>0.31574386058042436</v>
      </c>
      <c r="AX31" s="40">
        <f t="shared" si="3"/>
        <v>0.31889139100080677</v>
      </c>
      <c r="AY31" s="40">
        <f t="shared" si="3"/>
        <v>0.32121776403190205</v>
      </c>
      <c r="AZ31" s="40">
        <f t="shared" si="3"/>
        <v>0.32649563966007622</v>
      </c>
      <c r="BA31" s="40">
        <f t="shared" si="3"/>
        <v>0.32709658782956652</v>
      </c>
      <c r="BB31" s="40">
        <f t="shared" si="3"/>
        <v>0.32880126944523108</v>
      </c>
      <c r="BC31" s="40">
        <f t="shared" si="3"/>
        <v>0.33227890152997136</v>
      </c>
      <c r="BD31" s="40">
        <f t="shared" si="3"/>
        <v>0.32784856340877605</v>
      </c>
      <c r="BE31" s="40">
        <f t="shared" si="3"/>
        <v>0.33188077472100103</v>
      </c>
      <c r="BF31" s="40">
        <f t="shared" si="3"/>
        <v>0.33278450495917666</v>
      </c>
      <c r="BG31" s="40">
        <f t="shared" si="3"/>
        <v>0.3325954996837448</v>
      </c>
      <c r="BH31" s="40">
        <f t="shared" si="3"/>
        <v>0.32860930519567033</v>
      </c>
      <c r="BI31" s="40">
        <f t="shared" si="3"/>
        <v>0.33742988730632784</v>
      </c>
      <c r="BJ31" s="42">
        <f t="shared" si="3"/>
        <v>0.34098705785836592</v>
      </c>
      <c r="BK31" s="41"/>
    </row>
    <row r="32" spans="1:63" s="37" customFormat="1" x14ac:dyDescent="0.25">
      <c r="A32" s="43"/>
      <c r="B32" s="38" t="s">
        <v>185</v>
      </c>
      <c r="C32" s="38" t="s">
        <v>191</v>
      </c>
      <c r="D32" s="44">
        <f>D227/D239</f>
        <v>5.9111102147046922E-2</v>
      </c>
      <c r="E32" s="44">
        <f t="shared" ref="E32:BI32" si="4">E227/E239</f>
        <v>5.3828140846266644E-2</v>
      </c>
      <c r="F32" s="44">
        <f t="shared" si="4"/>
        <v>4.6276034635194911E-2</v>
      </c>
      <c r="G32" s="44">
        <f t="shared" si="4"/>
        <v>3.8332858477181583E-2</v>
      </c>
      <c r="H32" s="44">
        <f t="shared" si="4"/>
        <v>3.4797124128854988E-2</v>
      </c>
      <c r="I32" s="44">
        <f t="shared" si="4"/>
        <v>2.9130425413273524E-2</v>
      </c>
      <c r="J32" s="44">
        <f t="shared" si="4"/>
        <v>2.4458238009693139E-2</v>
      </c>
      <c r="K32" s="44">
        <f t="shared" si="4"/>
        <v>1.9916126934346166E-2</v>
      </c>
      <c r="L32" s="44">
        <f t="shared" si="4"/>
        <v>1.711249599718127E-2</v>
      </c>
      <c r="M32" s="44">
        <f t="shared" si="4"/>
        <v>1.4922715184102514E-2</v>
      </c>
      <c r="N32" s="44">
        <f t="shared" si="4"/>
        <v>1.4540494437851884E-2</v>
      </c>
      <c r="O32" s="44">
        <f t="shared" si="4"/>
        <v>1.3366381827831291E-2</v>
      </c>
      <c r="P32" s="44">
        <f t="shared" si="4"/>
        <v>1.1713105407023354E-2</v>
      </c>
      <c r="Q32" s="44">
        <f t="shared" si="4"/>
        <v>1.1703791408804736E-2</v>
      </c>
      <c r="R32" s="44">
        <f t="shared" si="4"/>
        <v>1.2931954815903127E-2</v>
      </c>
      <c r="S32" s="44">
        <f t="shared" si="4"/>
        <v>1.5318407806705568E-2</v>
      </c>
      <c r="T32" s="44">
        <f t="shared" si="4"/>
        <v>1.8311067300738958E-2</v>
      </c>
      <c r="U32" s="44">
        <f t="shared" si="4"/>
        <v>1.7583863710755161E-2</v>
      </c>
      <c r="V32" s="44">
        <f t="shared" si="4"/>
        <v>1.6731381270488642E-2</v>
      </c>
      <c r="W32" s="44">
        <f t="shared" si="4"/>
        <v>1.7497443712126106E-2</v>
      </c>
      <c r="X32" s="44">
        <f t="shared" si="4"/>
        <v>1.9699777236537108E-2</v>
      </c>
      <c r="Y32" s="44">
        <f t="shared" si="4"/>
        <v>2.2312776920056697E-2</v>
      </c>
      <c r="Z32" s="44">
        <f t="shared" si="4"/>
        <v>2.2532227453913905E-2</v>
      </c>
      <c r="AA32" s="44">
        <f t="shared" si="4"/>
        <v>2.0055227295953701E-2</v>
      </c>
      <c r="AB32" s="44">
        <f t="shared" si="4"/>
        <v>1.8720728601566514E-2</v>
      </c>
      <c r="AC32" s="44">
        <f t="shared" si="4"/>
        <v>1.6585034171572217E-2</v>
      </c>
      <c r="AD32" s="44">
        <f t="shared" si="4"/>
        <v>1.5101072781071444E-2</v>
      </c>
      <c r="AE32" s="44">
        <f t="shared" si="4"/>
        <v>1.3418005373636984E-2</v>
      </c>
      <c r="AF32" s="44">
        <f t="shared" si="4"/>
        <v>1.1305614934388196E-2</v>
      </c>
      <c r="AG32" s="44">
        <f t="shared" si="4"/>
        <v>1.0190456781626315E-2</v>
      </c>
      <c r="AH32" s="44">
        <f t="shared" si="4"/>
        <v>9.8410633098808681E-3</v>
      </c>
      <c r="AI32" s="44">
        <f t="shared" si="4"/>
        <v>9.6342957274321815E-3</v>
      </c>
      <c r="AJ32" s="44">
        <f t="shared" si="4"/>
        <v>8.2094086002820615E-3</v>
      </c>
      <c r="AK32" s="44">
        <f t="shared" si="4"/>
        <v>7.0357342470112137E-3</v>
      </c>
      <c r="AL32" s="44">
        <f t="shared" si="4"/>
        <v>7.1492027315629963E-3</v>
      </c>
      <c r="AM32" s="44">
        <f t="shared" si="4"/>
        <v>7.2803226610223719E-3</v>
      </c>
      <c r="AN32" s="44">
        <f t="shared" si="4"/>
        <v>7.4096485904656569E-3</v>
      </c>
      <c r="AO32" s="44">
        <f t="shared" si="4"/>
        <v>8.0017736074022398E-3</v>
      </c>
      <c r="AP32" s="44">
        <f t="shared" si="4"/>
        <v>8.3821383739626412E-3</v>
      </c>
      <c r="AQ32" s="44">
        <f t="shared" si="4"/>
        <v>9.3128466165864621E-3</v>
      </c>
      <c r="AR32" s="44">
        <f t="shared" si="4"/>
        <v>9.4705027702437373E-3</v>
      </c>
      <c r="AS32" s="44">
        <f t="shared" si="4"/>
        <v>9.9118027890171476E-3</v>
      </c>
      <c r="AT32" s="44">
        <f t="shared" si="4"/>
        <v>1.0412764828072726E-2</v>
      </c>
      <c r="AU32" s="44">
        <f t="shared" si="4"/>
        <v>1.1858031205587545E-2</v>
      </c>
      <c r="AV32" s="44">
        <f t="shared" si="4"/>
        <v>1.1103082322471725E-2</v>
      </c>
      <c r="AW32" s="44">
        <f t="shared" si="4"/>
        <v>1.2012733109810712E-2</v>
      </c>
      <c r="AX32" s="44">
        <f t="shared" si="4"/>
        <v>1.167171722270881E-2</v>
      </c>
      <c r="AY32" s="44">
        <f t="shared" si="4"/>
        <v>1.2798379778931701E-2</v>
      </c>
      <c r="AZ32" s="44">
        <f t="shared" si="4"/>
        <v>1.2490936838077076E-2</v>
      </c>
      <c r="BA32" s="44">
        <f t="shared" si="4"/>
        <v>1.2874135670446509E-2</v>
      </c>
      <c r="BB32" s="44">
        <f t="shared" si="4"/>
        <v>1.2182225859935659E-2</v>
      </c>
      <c r="BC32" s="44">
        <f t="shared" si="4"/>
        <v>1.2722022286882717E-2</v>
      </c>
      <c r="BD32" s="44">
        <f t="shared" si="4"/>
        <v>1.295051178262319E-2</v>
      </c>
      <c r="BE32" s="44">
        <f t="shared" si="4"/>
        <v>1.2940104971456427E-2</v>
      </c>
      <c r="BF32" s="44">
        <f t="shared" si="4"/>
        <v>1.3600777361050757E-2</v>
      </c>
      <c r="BG32" s="44">
        <f t="shared" si="4"/>
        <v>1.404351274525077E-2</v>
      </c>
      <c r="BH32" s="44">
        <f t="shared" si="4"/>
        <v>1.4355734571992032E-2</v>
      </c>
      <c r="BI32" s="44">
        <f t="shared" si="4"/>
        <v>1.4645837514514412E-2</v>
      </c>
      <c r="BJ32" s="44">
        <f>BJ227/BJ239</f>
        <v>1.4580228746185541E-2</v>
      </c>
      <c r="BK32" s="45">
        <f>BK227/BK239</f>
        <v>1.522430531344492E-2</v>
      </c>
    </row>
    <row r="33" spans="2:63" s="37" customFormat="1" x14ac:dyDescent="0.25">
      <c r="B33" s="38" t="s">
        <v>185</v>
      </c>
      <c r="C33" s="38" t="s">
        <v>192</v>
      </c>
      <c r="D33" s="44">
        <f>1-D32</f>
        <v>0.94088889785295304</v>
      </c>
      <c r="E33" s="44">
        <f t="shared" ref="E33:BK33" si="5">1-E32</f>
        <v>0.94617185915373336</v>
      </c>
      <c r="F33" s="44">
        <f t="shared" si="5"/>
        <v>0.95372396536480508</v>
      </c>
      <c r="G33" s="44">
        <f t="shared" si="5"/>
        <v>0.9616671415228184</v>
      </c>
      <c r="H33" s="44">
        <f t="shared" si="5"/>
        <v>0.96520287587114506</v>
      </c>
      <c r="I33" s="44">
        <f t="shared" si="5"/>
        <v>0.97086957458672651</v>
      </c>
      <c r="J33" s="44">
        <f t="shared" si="5"/>
        <v>0.97554176199030684</v>
      </c>
      <c r="K33" s="44">
        <f t="shared" si="5"/>
        <v>0.98008387306565381</v>
      </c>
      <c r="L33" s="44">
        <f t="shared" si="5"/>
        <v>0.98288750400281877</v>
      </c>
      <c r="M33" s="44">
        <f t="shared" si="5"/>
        <v>0.98507728481589751</v>
      </c>
      <c r="N33" s="44">
        <f t="shared" si="5"/>
        <v>0.98545950556214812</v>
      </c>
      <c r="O33" s="44">
        <f t="shared" si="5"/>
        <v>0.98663361817216866</v>
      </c>
      <c r="P33" s="44">
        <f t="shared" si="5"/>
        <v>0.98828689459297669</v>
      </c>
      <c r="Q33" s="44">
        <f t="shared" si="5"/>
        <v>0.98829620859119527</v>
      </c>
      <c r="R33" s="44">
        <f t="shared" si="5"/>
        <v>0.98706804518409685</v>
      </c>
      <c r="S33" s="44">
        <f t="shared" si="5"/>
        <v>0.98468159219329443</v>
      </c>
      <c r="T33" s="44">
        <f t="shared" si="5"/>
        <v>0.98168893269926105</v>
      </c>
      <c r="U33" s="44">
        <f t="shared" si="5"/>
        <v>0.98241613628924485</v>
      </c>
      <c r="V33" s="44">
        <f t="shared" si="5"/>
        <v>0.98326861872951132</v>
      </c>
      <c r="W33" s="44">
        <f t="shared" si="5"/>
        <v>0.98250255628787386</v>
      </c>
      <c r="X33" s="44">
        <f t="shared" si="5"/>
        <v>0.98030022276346285</v>
      </c>
      <c r="Y33" s="44">
        <f t="shared" si="5"/>
        <v>0.97768722307994327</v>
      </c>
      <c r="Z33" s="44">
        <f t="shared" si="5"/>
        <v>0.97746777254608608</v>
      </c>
      <c r="AA33" s="44">
        <f t="shared" si="5"/>
        <v>0.97994477270404634</v>
      </c>
      <c r="AB33" s="44">
        <f t="shared" si="5"/>
        <v>0.98127927139843352</v>
      </c>
      <c r="AC33" s="44">
        <f t="shared" si="5"/>
        <v>0.9834149658284278</v>
      </c>
      <c r="AD33" s="44">
        <f t="shared" si="5"/>
        <v>0.98489892721892858</v>
      </c>
      <c r="AE33" s="44">
        <f t="shared" si="5"/>
        <v>0.98658199462636298</v>
      </c>
      <c r="AF33" s="44">
        <f t="shared" si="5"/>
        <v>0.9886943850656118</v>
      </c>
      <c r="AG33" s="44">
        <f t="shared" si="5"/>
        <v>0.98980954321837367</v>
      </c>
      <c r="AH33" s="44">
        <f t="shared" si="5"/>
        <v>0.99015893669011912</v>
      </c>
      <c r="AI33" s="44">
        <f t="shared" si="5"/>
        <v>0.99036570427256787</v>
      </c>
      <c r="AJ33" s="44">
        <f t="shared" si="5"/>
        <v>0.99179059139971792</v>
      </c>
      <c r="AK33" s="44">
        <f t="shared" si="5"/>
        <v>0.9929642657529888</v>
      </c>
      <c r="AL33" s="44">
        <f t="shared" si="5"/>
        <v>0.99285079726843706</v>
      </c>
      <c r="AM33" s="44">
        <f t="shared" si="5"/>
        <v>0.99271967733897759</v>
      </c>
      <c r="AN33" s="44">
        <f t="shared" si="5"/>
        <v>0.99259035140953433</v>
      </c>
      <c r="AO33" s="44">
        <f t="shared" si="5"/>
        <v>0.99199822639259772</v>
      </c>
      <c r="AP33" s="44">
        <f t="shared" si="5"/>
        <v>0.99161786162603738</v>
      </c>
      <c r="AQ33" s="44">
        <f t="shared" si="5"/>
        <v>0.99068715338341351</v>
      </c>
      <c r="AR33" s="44">
        <f t="shared" si="5"/>
        <v>0.99052949722975625</v>
      </c>
      <c r="AS33" s="44">
        <f t="shared" si="5"/>
        <v>0.99008819721098285</v>
      </c>
      <c r="AT33" s="44">
        <f t="shared" si="5"/>
        <v>0.98958723517192726</v>
      </c>
      <c r="AU33" s="44">
        <f t="shared" si="5"/>
        <v>0.98814196879441241</v>
      </c>
      <c r="AV33" s="44">
        <f t="shared" si="5"/>
        <v>0.9888969176775283</v>
      </c>
      <c r="AW33" s="44">
        <f t="shared" si="5"/>
        <v>0.98798726689018934</v>
      </c>
      <c r="AX33" s="44">
        <f t="shared" si="5"/>
        <v>0.98832828277729123</v>
      </c>
      <c r="AY33" s="44">
        <f t="shared" si="5"/>
        <v>0.98720162022106828</v>
      </c>
      <c r="AZ33" s="44">
        <f t="shared" si="5"/>
        <v>0.98750906316192288</v>
      </c>
      <c r="BA33" s="44">
        <f t="shared" si="5"/>
        <v>0.98712586432955352</v>
      </c>
      <c r="BB33" s="44">
        <f t="shared" si="5"/>
        <v>0.98781777414006433</v>
      </c>
      <c r="BC33" s="44">
        <f t="shared" si="5"/>
        <v>0.98727797771311732</v>
      </c>
      <c r="BD33" s="44">
        <f t="shared" si="5"/>
        <v>0.98704948821737681</v>
      </c>
      <c r="BE33" s="44">
        <f t="shared" si="5"/>
        <v>0.98705989502854352</v>
      </c>
      <c r="BF33" s="44">
        <f t="shared" si="5"/>
        <v>0.98639922263894919</v>
      </c>
      <c r="BG33" s="44">
        <f t="shared" si="5"/>
        <v>0.98595648725474927</v>
      </c>
      <c r="BH33" s="44">
        <f t="shared" si="5"/>
        <v>0.98564426542800798</v>
      </c>
      <c r="BI33" s="44">
        <f t="shared" si="5"/>
        <v>0.98535416248548557</v>
      </c>
      <c r="BJ33" s="44">
        <f t="shared" si="5"/>
        <v>0.98541977125381441</v>
      </c>
      <c r="BK33" s="45">
        <f t="shared" si="5"/>
        <v>0.98477569468655513</v>
      </c>
    </row>
    <row r="34" spans="2:63" s="37" customFormat="1" x14ac:dyDescent="0.25">
      <c r="B34" s="38" t="s">
        <v>185</v>
      </c>
      <c r="C34" s="38" t="s">
        <v>193</v>
      </c>
      <c r="D34" s="44">
        <f>D217</f>
        <v>4.5435624158031776E-2</v>
      </c>
      <c r="E34" s="44">
        <f t="shared" ref="E34:M34" si="6">E217</f>
        <v>4.8435624158031779E-2</v>
      </c>
      <c r="F34" s="44">
        <f t="shared" si="6"/>
        <v>5.1435624158031781E-2</v>
      </c>
      <c r="G34" s="44">
        <f t="shared" si="6"/>
        <v>5.4435624158031784E-2</v>
      </c>
      <c r="H34" s="44">
        <f t="shared" si="6"/>
        <v>5.7435624158031787E-2</v>
      </c>
      <c r="I34" s="44">
        <f t="shared" si="6"/>
        <v>6.0435624158031789E-2</v>
      </c>
      <c r="J34" s="44">
        <f t="shared" si="6"/>
        <v>6.3435624158031792E-2</v>
      </c>
      <c r="K34" s="44">
        <f t="shared" si="6"/>
        <v>6.6435624158031795E-2</v>
      </c>
      <c r="L34" s="44">
        <f t="shared" si="6"/>
        <v>6.9435624158031797E-2</v>
      </c>
      <c r="M34" s="44">
        <f t="shared" si="6"/>
        <v>7.24356241580318E-2</v>
      </c>
      <c r="N34" s="44">
        <f t="shared" ref="N34:BK34" si="7">1-N36-N35</f>
        <v>7.5435624158031844E-2</v>
      </c>
      <c r="O34" s="44">
        <f t="shared" si="7"/>
        <v>7.8852475836911684E-2</v>
      </c>
      <c r="P34" s="44">
        <f t="shared" si="7"/>
        <v>8.3503023520661079E-2</v>
      </c>
      <c r="Q34" s="44">
        <f t="shared" si="7"/>
        <v>8.5789866466366216E-2</v>
      </c>
      <c r="R34" s="44">
        <f t="shared" si="7"/>
        <v>8.9376904871638518E-2</v>
      </c>
      <c r="S34" s="44">
        <f t="shared" si="7"/>
        <v>8.8697332608159818E-2</v>
      </c>
      <c r="T34" s="44">
        <f t="shared" si="7"/>
        <v>8.6549691534662743E-2</v>
      </c>
      <c r="U34" s="44">
        <f t="shared" si="7"/>
        <v>9.1094614457192469E-2</v>
      </c>
      <c r="V34" s="44">
        <f t="shared" si="7"/>
        <v>9.1805532966471759E-2</v>
      </c>
      <c r="W34" s="44">
        <f t="shared" si="7"/>
        <v>9.1053710147443567E-2</v>
      </c>
      <c r="X34" s="44">
        <f t="shared" si="7"/>
        <v>9.5357305719250829E-2</v>
      </c>
      <c r="Y34" s="44">
        <f t="shared" si="7"/>
        <v>0.10076975190374204</v>
      </c>
      <c r="Z34" s="44">
        <f t="shared" si="7"/>
        <v>0.10381737597207297</v>
      </c>
      <c r="AA34" s="44">
        <f t="shared" si="7"/>
        <v>0.10088066719290756</v>
      </c>
      <c r="AB34" s="44">
        <f t="shared" si="7"/>
        <v>0.10112060882338758</v>
      </c>
      <c r="AC34" s="44">
        <f t="shared" si="7"/>
        <v>0.10344298557106479</v>
      </c>
      <c r="AD34" s="44">
        <f t="shared" si="7"/>
        <v>0.10551876553928574</v>
      </c>
      <c r="AE34" s="44">
        <f t="shared" si="7"/>
        <v>0.11604319949188069</v>
      </c>
      <c r="AF34" s="44">
        <f t="shared" si="7"/>
        <v>0.13131077021998738</v>
      </c>
      <c r="AG34" s="44">
        <f t="shared" si="7"/>
        <v>0.18308705878705833</v>
      </c>
      <c r="AH34" s="44">
        <f t="shared" si="7"/>
        <v>0.22706424408819337</v>
      </c>
      <c r="AI34" s="44">
        <f t="shared" si="7"/>
        <v>0.25712849219513489</v>
      </c>
      <c r="AJ34" s="44">
        <f t="shared" si="7"/>
        <v>0.29123310372343347</v>
      </c>
      <c r="AK34" s="44">
        <f t="shared" si="7"/>
        <v>0.32501606863542298</v>
      </c>
      <c r="AL34" s="44">
        <f t="shared" si="7"/>
        <v>0.36632547502550672</v>
      </c>
      <c r="AM34" s="44">
        <f t="shared" si="7"/>
        <v>0.39770004236065887</v>
      </c>
      <c r="AN34" s="44">
        <f t="shared" si="7"/>
        <v>0.4219003351656605</v>
      </c>
      <c r="AO34" s="44">
        <f t="shared" si="7"/>
        <v>0.44456086233744463</v>
      </c>
      <c r="AP34" s="44">
        <f t="shared" si="7"/>
        <v>0.45826593465709747</v>
      </c>
      <c r="AQ34" s="44">
        <f t="shared" si="7"/>
        <v>0.48194075696589023</v>
      </c>
      <c r="AR34" s="44">
        <f t="shared" si="7"/>
        <v>0.49882365523973893</v>
      </c>
      <c r="AS34" s="44">
        <f t="shared" si="7"/>
        <v>0.51509572768953982</v>
      </c>
      <c r="AT34" s="44">
        <f t="shared" si="7"/>
        <v>0.53130430500482095</v>
      </c>
      <c r="AU34" s="44">
        <f t="shared" si="7"/>
        <v>0.54618037415692433</v>
      </c>
      <c r="AV34" s="44">
        <f t="shared" si="7"/>
        <v>0.56287817084313674</v>
      </c>
      <c r="AW34" s="44">
        <f t="shared" si="7"/>
        <v>0.57901174816904621</v>
      </c>
      <c r="AX34" s="44">
        <f t="shared" si="7"/>
        <v>0.59391252353197777</v>
      </c>
      <c r="AY34" s="44">
        <f t="shared" si="7"/>
        <v>0.60680427812644999</v>
      </c>
      <c r="AZ34" s="44">
        <f t="shared" si="7"/>
        <v>0.62808450125601145</v>
      </c>
      <c r="BA34" s="44">
        <f t="shared" si="7"/>
        <v>0.64644414458305</v>
      </c>
      <c r="BB34" s="44">
        <f t="shared" si="7"/>
        <v>0.64738521382653813</v>
      </c>
      <c r="BC34" s="44">
        <f t="shared" si="7"/>
        <v>0.66408863369380777</v>
      </c>
      <c r="BD34" s="44">
        <f t="shared" si="7"/>
        <v>0.6752181586659558</v>
      </c>
      <c r="BE34" s="44">
        <f t="shared" si="7"/>
        <v>0.67927440458788058</v>
      </c>
      <c r="BF34" s="44">
        <f t="shared" si="7"/>
        <v>0.6829891730757911</v>
      </c>
      <c r="BG34" s="44">
        <f t="shared" si="7"/>
        <v>0.68451219605605329</v>
      </c>
      <c r="BH34" s="44">
        <f t="shared" si="7"/>
        <v>0.69061723206623604</v>
      </c>
      <c r="BI34" s="44">
        <f t="shared" si="7"/>
        <v>0.69273636956892637</v>
      </c>
      <c r="BJ34" s="44">
        <f t="shared" si="7"/>
        <v>0.69236078823845881</v>
      </c>
      <c r="BK34" s="45">
        <f t="shared" si="7"/>
        <v>0.70488455433262587</v>
      </c>
    </row>
    <row r="35" spans="2:63" s="37" customFormat="1" x14ac:dyDescent="0.25">
      <c r="B35" s="38" t="s">
        <v>185</v>
      </c>
      <c r="C35" s="38" t="s">
        <v>194</v>
      </c>
      <c r="D35" s="44">
        <f t="shared" ref="D35:M35" si="8">1-D34-D36</f>
        <v>0.68905691108964007</v>
      </c>
      <c r="E35" s="44">
        <f t="shared" si="8"/>
        <v>0.68935181264092316</v>
      </c>
      <c r="F35" s="44">
        <f t="shared" si="8"/>
        <v>0.69364142176594268</v>
      </c>
      <c r="G35" s="44">
        <f t="shared" si="8"/>
        <v>0.70129167237332113</v>
      </c>
      <c r="H35" s="44">
        <f t="shared" si="8"/>
        <v>0.71125802132223159</v>
      </c>
      <c r="I35" s="44">
        <f t="shared" si="8"/>
        <v>0.7208123108330875</v>
      </c>
      <c r="J35" s="44">
        <f t="shared" si="8"/>
        <v>0.71979681165961085</v>
      </c>
      <c r="K35" s="44">
        <f t="shared" si="8"/>
        <v>0.72067509789256456</v>
      </c>
      <c r="L35" s="44">
        <f t="shared" si="8"/>
        <v>0.72291798417076225</v>
      </c>
      <c r="M35" s="44">
        <f t="shared" si="8"/>
        <v>0.72090794734554642</v>
      </c>
      <c r="N35" s="44">
        <f t="shared" ref="N35:BK35" si="9">N220/N240</f>
        <v>0.72116702696372859</v>
      </c>
      <c r="O35" s="44">
        <f t="shared" si="9"/>
        <v>0.72358215748980481</v>
      </c>
      <c r="P35" s="44">
        <f t="shared" si="9"/>
        <v>0.72316033029043902</v>
      </c>
      <c r="Q35" s="44">
        <f t="shared" si="9"/>
        <v>0.72896863421398395</v>
      </c>
      <c r="R35" s="44">
        <f t="shared" si="9"/>
        <v>0.73562981770216018</v>
      </c>
      <c r="S35" s="44">
        <f t="shared" si="9"/>
        <v>0.73785991264121964</v>
      </c>
      <c r="T35" s="44">
        <f t="shared" si="9"/>
        <v>0.74305185340073276</v>
      </c>
      <c r="U35" s="44">
        <f t="shared" si="9"/>
        <v>0.74207864009368707</v>
      </c>
      <c r="V35" s="44">
        <f t="shared" si="9"/>
        <v>0.74416947218011464</v>
      </c>
      <c r="W35" s="44">
        <f t="shared" si="9"/>
        <v>0.74649995581704287</v>
      </c>
      <c r="X35" s="44">
        <f t="shared" si="9"/>
        <v>0.73192913051313357</v>
      </c>
      <c r="Y35" s="44">
        <f t="shared" si="9"/>
        <v>0.72242052773792209</v>
      </c>
      <c r="Z35" s="44">
        <f t="shared" si="9"/>
        <v>0.71628554426899937</v>
      </c>
      <c r="AA35" s="44">
        <f t="shared" si="9"/>
        <v>0.71495417618770574</v>
      </c>
      <c r="AB35" s="44">
        <f t="shared" si="9"/>
        <v>0.71609310862440179</v>
      </c>
      <c r="AC35" s="44">
        <f t="shared" si="9"/>
        <v>0.72465656101380627</v>
      </c>
      <c r="AD35" s="44">
        <f t="shared" si="9"/>
        <v>0.72635483910550169</v>
      </c>
      <c r="AE35" s="44">
        <f t="shared" si="9"/>
        <v>0.71747582929416054</v>
      </c>
      <c r="AF35" s="44">
        <f t="shared" si="9"/>
        <v>0.70691488949473169</v>
      </c>
      <c r="AG35" s="44">
        <f t="shared" si="9"/>
        <v>0.65282536419335935</v>
      </c>
      <c r="AH35" s="44">
        <f t="shared" si="9"/>
        <v>0.61456056532521119</v>
      </c>
      <c r="AI35" s="44">
        <f t="shared" si="9"/>
        <v>0.5812867458731148</v>
      </c>
      <c r="AJ35" s="44">
        <f t="shared" si="9"/>
        <v>0.55560881795094219</v>
      </c>
      <c r="AK35" s="44">
        <f t="shared" si="9"/>
        <v>0.53096802268368171</v>
      </c>
      <c r="AL35" s="44">
        <f t="shared" si="9"/>
        <v>0.50040137418509556</v>
      </c>
      <c r="AM35" s="44">
        <f t="shared" si="9"/>
        <v>0.47262346691767693</v>
      </c>
      <c r="AN35" s="44">
        <f t="shared" si="9"/>
        <v>0.45524406705975518</v>
      </c>
      <c r="AO35" s="44">
        <f t="shared" si="9"/>
        <v>0.43761435155889661</v>
      </c>
      <c r="AP35" s="44">
        <f t="shared" si="9"/>
        <v>0.42823910642246615</v>
      </c>
      <c r="AQ35" s="44">
        <f t="shared" si="9"/>
        <v>0.41071891872806088</v>
      </c>
      <c r="AR35" s="44">
        <f t="shared" si="9"/>
        <v>0.40122476668317586</v>
      </c>
      <c r="AS35" s="44">
        <f t="shared" si="9"/>
        <v>0.38998438674534647</v>
      </c>
      <c r="AT35" s="44">
        <f t="shared" si="9"/>
        <v>0.37899380907659602</v>
      </c>
      <c r="AU35" s="44">
        <f t="shared" si="9"/>
        <v>0.36588870067206647</v>
      </c>
      <c r="AV35" s="44">
        <f t="shared" si="9"/>
        <v>0.35665561129664175</v>
      </c>
      <c r="AW35" s="44">
        <f t="shared" si="9"/>
        <v>0.34441627306457206</v>
      </c>
      <c r="AX35" s="44">
        <f t="shared" si="9"/>
        <v>0.33149283385199096</v>
      </c>
      <c r="AY35" s="44">
        <f t="shared" si="9"/>
        <v>0.3204824722599911</v>
      </c>
      <c r="AZ35" s="44">
        <f t="shared" si="9"/>
        <v>0.30580792752653602</v>
      </c>
      <c r="BA35" s="44">
        <f t="shared" si="9"/>
        <v>0.28645544376964738</v>
      </c>
      <c r="BB35" s="44">
        <f t="shared" si="9"/>
        <v>0.28602395463645286</v>
      </c>
      <c r="BC35" s="44">
        <f t="shared" si="9"/>
        <v>0.27538060799928665</v>
      </c>
      <c r="BD35" s="44">
        <f t="shared" si="9"/>
        <v>0.26845326430809341</v>
      </c>
      <c r="BE35" s="44">
        <f t="shared" si="9"/>
        <v>0.26466651725893842</v>
      </c>
      <c r="BF35" s="44">
        <f t="shared" si="9"/>
        <v>0.26303559613927113</v>
      </c>
      <c r="BG35" s="44">
        <f t="shared" si="9"/>
        <v>0.26548912760329313</v>
      </c>
      <c r="BH35" s="44">
        <f t="shared" si="9"/>
        <v>0.2638190771865897</v>
      </c>
      <c r="BI35" s="44">
        <f t="shared" si="9"/>
        <v>0.26426123043848387</v>
      </c>
      <c r="BJ35" s="44">
        <f t="shared" si="9"/>
        <v>0.26661368529762924</v>
      </c>
      <c r="BK35" s="45">
        <f t="shared" si="9"/>
        <v>0.25547256811199875</v>
      </c>
    </row>
    <row r="36" spans="2:63" s="37" customFormat="1" x14ac:dyDescent="0.25">
      <c r="B36" s="38" t="s">
        <v>185</v>
      </c>
      <c r="C36" s="38" t="s">
        <v>195</v>
      </c>
      <c r="D36" s="44">
        <f>D233/D240</f>
        <v>0.26550746475232806</v>
      </c>
      <c r="E36" s="44">
        <f t="shared" ref="E36:BI36" si="10">E233/E240</f>
        <v>0.26221256320104502</v>
      </c>
      <c r="F36" s="44">
        <f t="shared" si="10"/>
        <v>0.2549229540760255</v>
      </c>
      <c r="G36" s="44">
        <f t="shared" si="10"/>
        <v>0.24427270346864707</v>
      </c>
      <c r="H36" s="44">
        <f t="shared" si="10"/>
        <v>0.23130635451973658</v>
      </c>
      <c r="I36" s="44">
        <f t="shared" si="10"/>
        <v>0.21875206500888067</v>
      </c>
      <c r="J36" s="44">
        <f t="shared" si="10"/>
        <v>0.21676756418235729</v>
      </c>
      <c r="K36" s="44">
        <f t="shared" si="10"/>
        <v>0.21288927794940363</v>
      </c>
      <c r="L36" s="44">
        <f t="shared" si="10"/>
        <v>0.20764639167120597</v>
      </c>
      <c r="M36" s="44">
        <f t="shared" si="10"/>
        <v>0.20665642849642168</v>
      </c>
      <c r="N36" s="44">
        <f t="shared" si="10"/>
        <v>0.2033973488782396</v>
      </c>
      <c r="O36" s="44">
        <f t="shared" si="10"/>
        <v>0.19756536667328345</v>
      </c>
      <c r="P36" s="44">
        <f t="shared" si="10"/>
        <v>0.19333664618889995</v>
      </c>
      <c r="Q36" s="44">
        <f t="shared" si="10"/>
        <v>0.18524149931964984</v>
      </c>
      <c r="R36" s="44">
        <f t="shared" si="10"/>
        <v>0.17499327742620135</v>
      </c>
      <c r="S36" s="44">
        <f t="shared" si="10"/>
        <v>0.17344275475062049</v>
      </c>
      <c r="T36" s="44">
        <f t="shared" si="10"/>
        <v>0.17039845506460449</v>
      </c>
      <c r="U36" s="44">
        <f t="shared" si="10"/>
        <v>0.16682674544912049</v>
      </c>
      <c r="V36" s="44">
        <f t="shared" si="10"/>
        <v>0.1640249948534136</v>
      </c>
      <c r="W36" s="44">
        <f t="shared" si="10"/>
        <v>0.16244633403551351</v>
      </c>
      <c r="X36" s="44">
        <f t="shared" si="10"/>
        <v>0.17271356376761565</v>
      </c>
      <c r="Y36" s="44">
        <f t="shared" si="10"/>
        <v>0.17680972035833592</v>
      </c>
      <c r="Z36" s="44">
        <f t="shared" si="10"/>
        <v>0.17989707975892766</v>
      </c>
      <c r="AA36" s="44">
        <f t="shared" si="10"/>
        <v>0.18416515661938668</v>
      </c>
      <c r="AB36" s="44">
        <f t="shared" si="10"/>
        <v>0.18278628255221058</v>
      </c>
      <c r="AC36" s="44">
        <f t="shared" si="10"/>
        <v>0.17190045341512897</v>
      </c>
      <c r="AD36" s="44">
        <f t="shared" si="10"/>
        <v>0.16812639535521262</v>
      </c>
      <c r="AE36" s="44">
        <f t="shared" si="10"/>
        <v>0.16648097121395877</v>
      </c>
      <c r="AF36" s="44">
        <f t="shared" si="10"/>
        <v>0.16177434028528093</v>
      </c>
      <c r="AG36" s="44">
        <f t="shared" si="10"/>
        <v>0.16408757701958232</v>
      </c>
      <c r="AH36" s="44">
        <f t="shared" si="10"/>
        <v>0.15837519058659541</v>
      </c>
      <c r="AI36" s="44">
        <f t="shared" si="10"/>
        <v>0.16158476193175034</v>
      </c>
      <c r="AJ36" s="44">
        <f t="shared" si="10"/>
        <v>0.15315807832562428</v>
      </c>
      <c r="AK36" s="44">
        <f t="shared" si="10"/>
        <v>0.14401590868089531</v>
      </c>
      <c r="AL36" s="44">
        <f t="shared" si="10"/>
        <v>0.13327315078939772</v>
      </c>
      <c r="AM36" s="44">
        <f t="shared" si="10"/>
        <v>0.12967649072166423</v>
      </c>
      <c r="AN36" s="44">
        <f t="shared" si="10"/>
        <v>0.12285559777458431</v>
      </c>
      <c r="AO36" s="44">
        <f t="shared" si="10"/>
        <v>0.11782478610365882</v>
      </c>
      <c r="AP36" s="44">
        <f t="shared" si="10"/>
        <v>0.11349495892043633</v>
      </c>
      <c r="AQ36" s="44">
        <f t="shared" si="10"/>
        <v>0.10734032430604891</v>
      </c>
      <c r="AR36" s="44">
        <f t="shared" si="10"/>
        <v>9.995157807708524E-2</v>
      </c>
      <c r="AS36" s="44">
        <f t="shared" si="10"/>
        <v>9.4919885565113701E-2</v>
      </c>
      <c r="AT36" s="44">
        <f t="shared" si="10"/>
        <v>8.9701885918583107E-2</v>
      </c>
      <c r="AU36" s="44">
        <f t="shared" si="10"/>
        <v>8.7930925171009228E-2</v>
      </c>
      <c r="AV36" s="44">
        <f t="shared" si="10"/>
        <v>8.0466217860221623E-2</v>
      </c>
      <c r="AW36" s="44">
        <f t="shared" si="10"/>
        <v>7.6571978766381624E-2</v>
      </c>
      <c r="AX36" s="44">
        <f t="shared" si="10"/>
        <v>7.4594642616031326E-2</v>
      </c>
      <c r="AY36" s="44">
        <f t="shared" si="10"/>
        <v>7.2713249613559003E-2</v>
      </c>
      <c r="AZ36" s="44">
        <f t="shared" si="10"/>
        <v>6.6107571217452477E-2</v>
      </c>
      <c r="BA36" s="44">
        <f t="shared" si="10"/>
        <v>6.7100411647302613E-2</v>
      </c>
      <c r="BB36" s="44">
        <f t="shared" si="10"/>
        <v>6.659083153700901E-2</v>
      </c>
      <c r="BC36" s="44">
        <f t="shared" si="10"/>
        <v>6.0530758306905574E-2</v>
      </c>
      <c r="BD36" s="44">
        <f t="shared" si="10"/>
        <v>5.6328577025950718E-2</v>
      </c>
      <c r="BE36" s="44">
        <f t="shared" si="10"/>
        <v>5.6059078153181049E-2</v>
      </c>
      <c r="BF36" s="44">
        <f t="shared" si="10"/>
        <v>5.3975230784937871E-2</v>
      </c>
      <c r="BG36" s="44">
        <f t="shared" si="10"/>
        <v>4.9998676340653553E-2</v>
      </c>
      <c r="BH36" s="44">
        <f t="shared" si="10"/>
        <v>4.5563690747174208E-2</v>
      </c>
      <c r="BI36" s="44">
        <f t="shared" si="10"/>
        <v>4.3002399992589743E-2</v>
      </c>
      <c r="BJ36" s="44">
        <f>BJ233/BJ240</f>
        <v>4.1025526463911881E-2</v>
      </c>
      <c r="BK36" s="45">
        <f>BK233/BK240</f>
        <v>3.9642877555375294E-2</v>
      </c>
    </row>
    <row r="37" spans="2:63" x14ac:dyDescent="0.25">
      <c r="C37" s="34" t="s">
        <v>196</v>
      </c>
      <c r="D37" s="46">
        <f t="shared" ref="D37:BB37" si="11">D25*D107/D109+D26*D108/D109</f>
        <v>0.1476323969983431</v>
      </c>
      <c r="E37" s="46">
        <f t="shared" si="11"/>
        <v>0.14737477549663264</v>
      </c>
      <c r="F37" s="46">
        <f t="shared" si="11"/>
        <v>0.14720665278984113</v>
      </c>
      <c r="G37" s="46">
        <f t="shared" si="11"/>
        <v>0.14693632282650526</v>
      </c>
      <c r="H37" s="46">
        <f t="shared" si="11"/>
        <v>0.14699474954390571</v>
      </c>
      <c r="I37" s="46">
        <f t="shared" si="11"/>
        <v>0.14712766261102131</v>
      </c>
      <c r="J37" s="46">
        <f t="shared" si="11"/>
        <v>0.14715526432209963</v>
      </c>
      <c r="K37" s="46">
        <f t="shared" si="11"/>
        <v>0.14721276536470468</v>
      </c>
      <c r="L37" s="46">
        <f t="shared" si="11"/>
        <v>0.14714253099884542</v>
      </c>
      <c r="M37" s="46">
        <f t="shared" si="11"/>
        <v>0.1470219170470678</v>
      </c>
      <c r="N37" s="46">
        <f t="shared" si="11"/>
        <v>0.14731448983110493</v>
      </c>
      <c r="O37" s="46">
        <f t="shared" si="11"/>
        <v>0.14826435389099227</v>
      </c>
      <c r="P37" s="46">
        <f t="shared" si="11"/>
        <v>0.1482838052638546</v>
      </c>
      <c r="Q37" s="46">
        <f t="shared" si="11"/>
        <v>0.14655603255932026</v>
      </c>
      <c r="R37" s="46">
        <f t="shared" si="11"/>
        <v>0.14742886447929587</v>
      </c>
      <c r="S37" s="46">
        <f t="shared" si="11"/>
        <v>0.15038395704616864</v>
      </c>
      <c r="T37" s="46">
        <f t="shared" si="11"/>
        <v>0.15097919176027386</v>
      </c>
      <c r="U37" s="46">
        <f t="shared" si="11"/>
        <v>0.14959403190149748</v>
      </c>
      <c r="V37" s="46">
        <f t="shared" si="11"/>
        <v>0.14839958180534024</v>
      </c>
      <c r="W37" s="46">
        <f t="shared" si="11"/>
        <v>0.14576692464765056</v>
      </c>
      <c r="X37" s="46">
        <f t="shared" si="11"/>
        <v>0.15103438421765719</v>
      </c>
      <c r="Y37" s="46">
        <f t="shared" si="11"/>
        <v>0.15624280973589752</v>
      </c>
      <c r="Z37" s="46">
        <f t="shared" si="11"/>
        <v>0.15560588612679752</v>
      </c>
      <c r="AA37" s="46">
        <f t="shared" si="11"/>
        <v>0.15353979730006817</v>
      </c>
      <c r="AB37" s="46">
        <f t="shared" si="11"/>
        <v>0.1536492079551918</v>
      </c>
      <c r="AC37" s="46">
        <f t="shared" si="11"/>
        <v>0.15373765628213434</v>
      </c>
      <c r="AD37" s="46">
        <f t="shared" si="11"/>
        <v>0.15150021822975207</v>
      </c>
      <c r="AE37" s="46">
        <f t="shared" si="11"/>
        <v>0.15544832173340575</v>
      </c>
      <c r="AF37" s="46">
        <f t="shared" si="11"/>
        <v>0.15666457792038513</v>
      </c>
      <c r="AG37" s="46">
        <f t="shared" si="11"/>
        <v>0.1620630073876142</v>
      </c>
      <c r="AH37" s="46">
        <f t="shared" si="11"/>
        <v>0.16188834975884048</v>
      </c>
      <c r="AI37" s="46">
        <f t="shared" si="11"/>
        <v>0.16380333004182024</v>
      </c>
      <c r="AJ37" s="46">
        <f t="shared" si="11"/>
        <v>0.16341799076027963</v>
      </c>
      <c r="AK37" s="46">
        <f t="shared" si="11"/>
        <v>0.16363943196063907</v>
      </c>
      <c r="AL37" s="46">
        <f t="shared" si="11"/>
        <v>0.16761797735091172</v>
      </c>
      <c r="AM37" s="46">
        <f t="shared" si="11"/>
        <v>0.17280925964951135</v>
      </c>
      <c r="AN37" s="46">
        <f t="shared" si="11"/>
        <v>0.17235572056943183</v>
      </c>
      <c r="AO37" s="46">
        <f t="shared" si="11"/>
        <v>0.17449822558383216</v>
      </c>
      <c r="AP37" s="46">
        <f t="shared" si="11"/>
        <v>0.17826846659643902</v>
      </c>
      <c r="AQ37" s="46">
        <f t="shared" si="11"/>
        <v>0.18046989220059995</v>
      </c>
      <c r="AR37" s="46">
        <f t="shared" si="11"/>
        <v>0.18181702415271833</v>
      </c>
      <c r="AS37" s="46">
        <f t="shared" si="11"/>
        <v>0.18471155931589189</v>
      </c>
      <c r="AT37" s="46">
        <f t="shared" si="11"/>
        <v>0.18622494512141635</v>
      </c>
      <c r="AU37" s="46">
        <f t="shared" si="11"/>
        <v>0.18886851144236205</v>
      </c>
      <c r="AV37" s="46">
        <f t="shared" si="11"/>
        <v>0.19103382672555214</v>
      </c>
      <c r="AW37" s="46">
        <f t="shared" si="11"/>
        <v>0.19160348473924482</v>
      </c>
      <c r="AX37" s="46">
        <f t="shared" si="11"/>
        <v>0.19488977526536094</v>
      </c>
      <c r="AY37" s="46">
        <f t="shared" si="11"/>
        <v>0.19610847920359231</v>
      </c>
      <c r="AZ37" s="46">
        <f t="shared" si="11"/>
        <v>0.20164895615601192</v>
      </c>
      <c r="BA37" s="46">
        <f t="shared" si="11"/>
        <v>0.2059314386862432</v>
      </c>
      <c r="BB37" s="46">
        <f t="shared" si="11"/>
        <v>0.20793225118918743</v>
      </c>
    </row>
    <row r="38" spans="2:63" x14ac:dyDescent="0.25">
      <c r="N38" s="47" t="s">
        <v>197</v>
      </c>
    </row>
    <row r="39" spans="2:63" x14ac:dyDescent="0.25">
      <c r="C39" s="34" t="s">
        <v>198</v>
      </c>
      <c r="D39" s="48">
        <f>D229*0.833</f>
        <v>36.842289298057942</v>
      </c>
      <c r="E39" s="48">
        <f t="shared" ref="E39:BJ39" si="12">E229*0.833</f>
        <v>37.021741402625537</v>
      </c>
      <c r="F39" s="48">
        <f t="shared" si="12"/>
        <v>37.202067585825247</v>
      </c>
      <c r="G39" s="48">
        <f t="shared" si="12"/>
        <v>37.383272105135454</v>
      </c>
      <c r="H39" s="48">
        <f t="shared" si="12"/>
        <v>37.56535923877194</v>
      </c>
      <c r="I39" s="48">
        <f t="shared" si="12"/>
        <v>37.748333285788902</v>
      </c>
      <c r="J39" s="48">
        <f t="shared" si="12"/>
        <v>37.932198566180439</v>
      </c>
      <c r="K39" s="48">
        <f t="shared" si="12"/>
        <v>38.116959420982582</v>
      </c>
      <c r="L39" s="48">
        <f t="shared" si="12"/>
        <v>38.302620212375736</v>
      </c>
      <c r="M39" s="48">
        <f t="shared" si="12"/>
        <v>38.489185323787709</v>
      </c>
      <c r="N39" s="48">
        <f t="shared" si="12"/>
        <v>38.676659159997172</v>
      </c>
      <c r="O39" s="48">
        <f t="shared" si="12"/>
        <v>38.394054479955557</v>
      </c>
      <c r="P39" s="48">
        <f t="shared" si="12"/>
        <v>39.49341048322448</v>
      </c>
      <c r="Q39" s="48">
        <f t="shared" si="12"/>
        <v>38.735642322421498</v>
      </c>
      <c r="R39" s="48">
        <f t="shared" si="12"/>
        <v>39.012097582422754</v>
      </c>
      <c r="S39" s="48">
        <f t="shared" si="12"/>
        <v>41.427793009543315</v>
      </c>
      <c r="T39" s="48">
        <f t="shared" si="12"/>
        <v>40.333289452088614</v>
      </c>
      <c r="U39" s="48">
        <f t="shared" si="12"/>
        <v>40.887712092300085</v>
      </c>
      <c r="V39" s="48">
        <f t="shared" si="12"/>
        <v>39.533905485625638</v>
      </c>
      <c r="W39" s="48">
        <f t="shared" si="12"/>
        <v>39.066854547769907</v>
      </c>
      <c r="X39" s="48">
        <f t="shared" si="12"/>
        <v>40.602361912875097</v>
      </c>
      <c r="Y39" s="48">
        <f t="shared" si="12"/>
        <v>42.009503309890619</v>
      </c>
      <c r="Z39" s="48">
        <f t="shared" si="12"/>
        <v>41.917504258121447</v>
      </c>
      <c r="AA39" s="48">
        <f t="shared" si="12"/>
        <v>42.264778727947892</v>
      </c>
      <c r="AB39" s="48">
        <f t="shared" si="12"/>
        <v>42.113126164620013</v>
      </c>
      <c r="AC39" s="48">
        <f t="shared" si="12"/>
        <v>43.36164369277369</v>
      </c>
      <c r="AD39" s="48">
        <f t="shared" si="12"/>
        <v>43.270207272474195</v>
      </c>
      <c r="AE39" s="48">
        <f t="shared" si="12"/>
        <v>44.98848135119669</v>
      </c>
      <c r="AF39" s="48">
        <f t="shared" si="12"/>
        <v>44.88320463064823</v>
      </c>
      <c r="AG39" s="48">
        <f t="shared" si="12"/>
        <v>48.390424014731835</v>
      </c>
      <c r="AH39" s="48">
        <f t="shared" si="12"/>
        <v>46.638535384763237</v>
      </c>
      <c r="AI39" s="48">
        <f t="shared" si="12"/>
        <v>46.834199676593983</v>
      </c>
      <c r="AJ39" s="48">
        <f t="shared" si="12"/>
        <v>45.225979182650917</v>
      </c>
      <c r="AK39" s="48">
        <f t="shared" si="12"/>
        <v>43.87052777854587</v>
      </c>
      <c r="AL39" s="48">
        <f t="shared" si="12"/>
        <v>44.961811518680442</v>
      </c>
      <c r="AM39" s="48">
        <f t="shared" si="12"/>
        <v>45.978794676115783</v>
      </c>
      <c r="AN39" s="48">
        <f t="shared" si="12"/>
        <v>44.250921320229658</v>
      </c>
      <c r="AO39" s="48">
        <f t="shared" si="12"/>
        <v>44.866048502259829</v>
      </c>
      <c r="AP39" s="48">
        <f t="shared" si="12"/>
        <v>45.382699384827625</v>
      </c>
      <c r="AQ39" s="48">
        <f t="shared" si="12"/>
        <v>44.120798660082109</v>
      </c>
      <c r="AR39" s="48">
        <f t="shared" si="12"/>
        <v>44.183011040342457</v>
      </c>
      <c r="AS39" s="48">
        <f t="shared" si="12"/>
        <v>46.253986589410268</v>
      </c>
      <c r="AT39" s="48">
        <f t="shared" si="12"/>
        <v>45.799268429708434</v>
      </c>
      <c r="AU39" s="48">
        <f t="shared" si="12"/>
        <v>46.123635374405055</v>
      </c>
      <c r="AV39" s="48">
        <f t="shared" si="12"/>
        <v>47.462710243417945</v>
      </c>
      <c r="AW39" s="48">
        <f t="shared" si="12"/>
        <v>46.785440531078372</v>
      </c>
      <c r="AX39" s="48">
        <f t="shared" si="12"/>
        <v>48.72140022508998</v>
      </c>
      <c r="AY39" s="48">
        <f t="shared" si="12"/>
        <v>48.543118242963835</v>
      </c>
      <c r="AZ39" s="48">
        <f t="shared" si="12"/>
        <v>48.342308546737108</v>
      </c>
      <c r="BA39" s="48">
        <f t="shared" si="12"/>
        <v>51.311568369941547</v>
      </c>
      <c r="BB39" s="48">
        <f t="shared" si="12"/>
        <v>52.701054157591898</v>
      </c>
      <c r="BC39" s="48">
        <f t="shared" si="12"/>
        <v>53.118328731768031</v>
      </c>
      <c r="BD39" s="48">
        <f t="shared" si="12"/>
        <v>54.813228705998398</v>
      </c>
      <c r="BE39" s="48">
        <f t="shared" si="12"/>
        <v>55.830317132075869</v>
      </c>
      <c r="BF39" s="48">
        <f t="shared" si="12"/>
        <v>56.251896640260547</v>
      </c>
      <c r="BG39" s="48">
        <f t="shared" si="12"/>
        <v>55.702452556410535</v>
      </c>
      <c r="BH39" s="48">
        <f t="shared" si="12"/>
        <v>57.106005338595267</v>
      </c>
      <c r="BI39" s="48">
        <f t="shared" si="12"/>
        <v>56.837838708832763</v>
      </c>
      <c r="BJ39" s="48">
        <f t="shared" si="12"/>
        <v>58.182234104263387</v>
      </c>
    </row>
    <row r="40" spans="2:63" x14ac:dyDescent="0.25">
      <c r="C40" s="34" t="s">
        <v>199</v>
      </c>
      <c r="D40" s="48">
        <f t="shared" ref="D40:BJ41" si="13">((D190*D184+D202*D196)/(D184+D196))*0.833</f>
        <v>14.709429528290427</v>
      </c>
      <c r="E40" s="48">
        <f t="shared" si="13"/>
        <v>14.742581135975286</v>
      </c>
      <c r="F40" s="48">
        <f t="shared" si="13"/>
        <v>14.776948300353766</v>
      </c>
      <c r="G40" s="48">
        <f t="shared" si="13"/>
        <v>14.811242599871257</v>
      </c>
      <c r="H40" s="48">
        <f t="shared" si="13"/>
        <v>14.842634609472167</v>
      </c>
      <c r="I40" s="48">
        <f t="shared" si="13"/>
        <v>14.875099776695219</v>
      </c>
      <c r="J40" s="48">
        <f t="shared" si="13"/>
        <v>14.906800221787208</v>
      </c>
      <c r="K40" s="48">
        <f t="shared" si="13"/>
        <v>14.938252931406481</v>
      </c>
      <c r="L40" s="48">
        <f t="shared" si="13"/>
        <v>14.968633824030668</v>
      </c>
      <c r="M40" s="48">
        <f t="shared" si="13"/>
        <v>14.998590001475048</v>
      </c>
      <c r="N40" s="48">
        <f t="shared" si="13"/>
        <v>15.027561382146922</v>
      </c>
      <c r="O40" s="48">
        <f t="shared" si="13"/>
        <v>15.160498980810456</v>
      </c>
      <c r="P40" s="48">
        <f t="shared" si="13"/>
        <v>15.042179977295124</v>
      </c>
      <c r="Q40" s="48">
        <f t="shared" si="13"/>
        <v>14.849090647009419</v>
      </c>
      <c r="R40" s="48">
        <f t="shared" si="13"/>
        <v>14.982255194494078</v>
      </c>
      <c r="S40" s="48">
        <f t="shared" si="13"/>
        <v>15.457813814048457</v>
      </c>
      <c r="T40" s="48">
        <f t="shared" si="13"/>
        <v>15.505291185471133</v>
      </c>
      <c r="U40" s="48">
        <f t="shared" si="13"/>
        <v>15.346189694855832</v>
      </c>
      <c r="V40" s="48">
        <f t="shared" si="13"/>
        <v>15.091448334134808</v>
      </c>
      <c r="W40" s="48">
        <f t="shared" si="13"/>
        <v>14.750744237830176</v>
      </c>
      <c r="X40" s="48">
        <f t="shared" si="13"/>
        <v>15.339679492024993</v>
      </c>
      <c r="Y40" s="48">
        <f t="shared" si="13"/>
        <v>16.023349395410882</v>
      </c>
      <c r="Z40" s="48">
        <f t="shared" si="13"/>
        <v>16.046084413099472</v>
      </c>
      <c r="AA40" s="48">
        <f t="shared" si="13"/>
        <v>15.980930712481216</v>
      </c>
      <c r="AB40" s="48">
        <f t="shared" si="13"/>
        <v>16.260010137517199</v>
      </c>
      <c r="AC40" s="48">
        <f t="shared" si="13"/>
        <v>16.506808673316264</v>
      </c>
      <c r="AD40" s="48">
        <f t="shared" si="13"/>
        <v>16.467979845894682</v>
      </c>
      <c r="AE40" s="48">
        <f t="shared" si="13"/>
        <v>17.033069402519796</v>
      </c>
      <c r="AF40" s="48">
        <f t="shared" si="13"/>
        <v>17.326799330503768</v>
      </c>
      <c r="AG40" s="48">
        <f t="shared" si="13"/>
        <v>17.94517631644803</v>
      </c>
      <c r="AH40" s="48">
        <f t="shared" si="13"/>
        <v>17.422390447652823</v>
      </c>
      <c r="AI40" s="48">
        <f t="shared" si="13"/>
        <v>17.437117983540073</v>
      </c>
      <c r="AJ40" s="48">
        <f t="shared" si="13"/>
        <v>17.175418268987745</v>
      </c>
      <c r="AK40" s="48">
        <f t="shared" si="13"/>
        <v>16.950433181219175</v>
      </c>
      <c r="AL40" s="48">
        <f t="shared" si="13"/>
        <v>17.359164580000726</v>
      </c>
      <c r="AM40" s="48">
        <f t="shared" si="13"/>
        <v>17.857660448759002</v>
      </c>
      <c r="AN40" s="48">
        <f t="shared" si="13"/>
        <v>17.559502209250862</v>
      </c>
      <c r="AO40" s="48">
        <f t="shared" si="13"/>
        <v>17.665086728577673</v>
      </c>
      <c r="AP40" s="48">
        <f t="shared" si="13"/>
        <v>18.062030635226431</v>
      </c>
      <c r="AQ40" s="48">
        <f t="shared" si="13"/>
        <v>18.07934608084949</v>
      </c>
      <c r="AR40" s="48">
        <f t="shared" si="13"/>
        <v>18.088656550384844</v>
      </c>
      <c r="AS40" s="48">
        <f t="shared" si="13"/>
        <v>18.345795036702551</v>
      </c>
      <c r="AT40" s="48">
        <f t="shared" si="13"/>
        <v>18.397569385277862</v>
      </c>
      <c r="AU40" s="48">
        <f t="shared" si="13"/>
        <v>18.620757164169181</v>
      </c>
      <c r="AV40" s="48">
        <f t="shared" si="13"/>
        <v>18.685330438495477</v>
      </c>
      <c r="AW40" s="48">
        <f t="shared" si="13"/>
        <v>18.563373718479255</v>
      </c>
      <c r="AX40" s="48">
        <f t="shared" si="13"/>
        <v>18.835611011436097</v>
      </c>
      <c r="AY40" s="48">
        <f t="shared" si="13"/>
        <v>18.768516467732717</v>
      </c>
      <c r="AZ40" s="48">
        <f t="shared" si="13"/>
        <v>19.132486362702362</v>
      </c>
      <c r="BA40" s="48">
        <f t="shared" si="13"/>
        <v>19.645593248105957</v>
      </c>
      <c r="BB40" s="48">
        <f t="shared" si="13"/>
        <v>19.9964698743144</v>
      </c>
      <c r="BC40" s="48">
        <f t="shared" si="13"/>
        <v>20.389619604405148</v>
      </c>
      <c r="BD40" s="48">
        <f t="shared" si="13"/>
        <v>20.554386219529412</v>
      </c>
      <c r="BE40" s="48">
        <f t="shared" si="13"/>
        <v>20.995364359626457</v>
      </c>
      <c r="BF40" s="48">
        <f t="shared" si="13"/>
        <v>21.505725500055355</v>
      </c>
      <c r="BG40" s="48">
        <f t="shared" si="13"/>
        <v>21.728988407632173</v>
      </c>
      <c r="BH40" s="48">
        <f t="shared" si="13"/>
        <v>21.917104259731357</v>
      </c>
      <c r="BI40" s="48">
        <f t="shared" si="13"/>
        <v>22.379546908946459</v>
      </c>
      <c r="BJ40" s="48">
        <f t="shared" si="13"/>
        <v>23.065942536267727</v>
      </c>
    </row>
    <row r="41" spans="2:63" x14ac:dyDescent="0.25">
      <c r="C41" s="34" t="s">
        <v>200</v>
      </c>
      <c r="D41" s="48">
        <f t="shared" si="13"/>
        <v>15.312895913868758</v>
      </c>
      <c r="E41" s="48">
        <f t="shared" si="13"/>
        <v>15.390431701135549</v>
      </c>
      <c r="F41" s="48">
        <f t="shared" si="13"/>
        <v>15.467989429284135</v>
      </c>
      <c r="G41" s="48">
        <f t="shared" si="13"/>
        <v>15.54559980320705</v>
      </c>
      <c r="H41" s="48">
        <f t="shared" si="13"/>
        <v>15.623291021297378</v>
      </c>
      <c r="I41" s="48">
        <f t="shared" si="13"/>
        <v>15.701089054920404</v>
      </c>
      <c r="J41" s="48">
        <f t="shared" si="13"/>
        <v>15.779017891607111</v>
      </c>
      <c r="K41" s="48">
        <f t="shared" si="13"/>
        <v>15.85709974734996</v>
      </c>
      <c r="L41" s="48">
        <f t="shared" si="13"/>
        <v>15.935355252488325</v>
      </c>
      <c r="M41" s="48">
        <f t="shared" si="13"/>
        <v>16.013803614941278</v>
      </c>
      <c r="N41" s="48">
        <f t="shared" si="13"/>
        <v>16.089937701515094</v>
      </c>
      <c r="O41" s="48">
        <f t="shared" si="13"/>
        <v>16.275378053821044</v>
      </c>
      <c r="P41" s="48">
        <f t="shared" si="13"/>
        <v>16.233974217997389</v>
      </c>
      <c r="Q41" s="48">
        <f t="shared" si="13"/>
        <v>16.05476408681033</v>
      </c>
      <c r="R41" s="48">
        <f t="shared" si="13"/>
        <v>16.120630052831771</v>
      </c>
      <c r="S41" s="48">
        <f t="shared" si="13"/>
        <v>16.670221758222681</v>
      </c>
      <c r="T41" s="48">
        <f t="shared" si="13"/>
        <v>16.795684087055822</v>
      </c>
      <c r="U41" s="48">
        <f t="shared" si="13"/>
        <v>16.58908968480446</v>
      </c>
      <c r="V41" s="48">
        <f t="shared" si="13"/>
        <v>16.447669537175859</v>
      </c>
      <c r="W41" s="48">
        <f t="shared" si="13"/>
        <v>16.109025771619642</v>
      </c>
      <c r="X41" s="48">
        <f t="shared" si="13"/>
        <v>16.81574949401406</v>
      </c>
      <c r="Y41" s="48">
        <f t="shared" si="13"/>
        <v>17.505538837331851</v>
      </c>
      <c r="Z41" s="48">
        <f t="shared" si="13"/>
        <v>17.461610434723948</v>
      </c>
      <c r="AA41" s="48">
        <f t="shared" si="13"/>
        <v>17.34075522389745</v>
      </c>
      <c r="AB41" s="48">
        <f t="shared" si="13"/>
        <v>17.483726296180148</v>
      </c>
      <c r="AC41" s="48">
        <f t="shared" si="13"/>
        <v>17.752162179000472</v>
      </c>
      <c r="AD41" s="48">
        <f t="shared" si="13"/>
        <v>17.478067999663452</v>
      </c>
      <c r="AE41" s="48">
        <f t="shared" si="13"/>
        <v>18.475010780330653</v>
      </c>
      <c r="AF41" s="48">
        <f t="shared" si="13"/>
        <v>18.586604760918842</v>
      </c>
      <c r="AG41" s="48">
        <f t="shared" si="13"/>
        <v>17.622274507833385</v>
      </c>
      <c r="AH41" s="48">
        <f t="shared" si="13"/>
        <v>18.245582142285496</v>
      </c>
      <c r="AI41" s="48">
        <f t="shared" si="13"/>
        <v>18.236098026694094</v>
      </c>
      <c r="AJ41" s="48">
        <f t="shared" si="13"/>
        <v>18.016786513321406</v>
      </c>
      <c r="AK41" s="48">
        <f t="shared" si="13"/>
        <v>17.982927877264139</v>
      </c>
      <c r="AL41" s="48">
        <f t="shared" si="13"/>
        <v>18.37562354342322</v>
      </c>
      <c r="AM41" s="48">
        <f t="shared" si="13"/>
        <v>18.94171495307695</v>
      </c>
      <c r="AN41" s="48">
        <f t="shared" si="13"/>
        <v>18.627510171157461</v>
      </c>
      <c r="AO41" s="48">
        <f t="shared" si="13"/>
        <v>18.662804506017586</v>
      </c>
      <c r="AP41" s="48">
        <f t="shared" si="13"/>
        <v>19.017103636387176</v>
      </c>
      <c r="AQ41" s="48">
        <f t="shared" si="13"/>
        <v>19.108437320280547</v>
      </c>
      <c r="AR41" s="48">
        <f t="shared" si="13"/>
        <v>19.102782313144527</v>
      </c>
      <c r="AS41" s="48">
        <f t="shared" si="13"/>
        <v>19.418843679405644</v>
      </c>
      <c r="AT41" s="48">
        <f t="shared" si="13"/>
        <v>19.563363313945722</v>
      </c>
      <c r="AU41" s="48">
        <f t="shared" si="13"/>
        <v>19.825174926281289</v>
      </c>
      <c r="AV41" s="48">
        <f t="shared" si="13"/>
        <v>19.995285313781395</v>
      </c>
      <c r="AW41" s="48">
        <f t="shared" si="13"/>
        <v>19.914279491443068</v>
      </c>
      <c r="AX41" s="48">
        <f t="shared" si="13"/>
        <v>20.256499718926268</v>
      </c>
      <c r="AY41" s="48">
        <f t="shared" si="13"/>
        <v>20.273977905996535</v>
      </c>
      <c r="AZ41" s="48">
        <f t="shared" si="13"/>
        <v>20.912175168749837</v>
      </c>
      <c r="BA41" s="48">
        <f t="shared" si="13"/>
        <v>21.256464742402901</v>
      </c>
      <c r="BB41" s="48">
        <f t="shared" si="13"/>
        <v>21.44479939195627</v>
      </c>
      <c r="BC41" s="48">
        <f t="shared" si="13"/>
        <v>21.801312827017352</v>
      </c>
      <c r="BD41" s="48">
        <f t="shared" si="13"/>
        <v>21.888173922785459</v>
      </c>
      <c r="BE41" s="48">
        <f t="shared" si="13"/>
        <v>22.324752971596872</v>
      </c>
      <c r="BF41" s="48">
        <f t="shared" si="13"/>
        <v>22.758894418604587</v>
      </c>
      <c r="BG41" s="48">
        <f t="shared" si="13"/>
        <v>22.84771442379753</v>
      </c>
      <c r="BH41" s="48">
        <f t="shared" si="13"/>
        <v>22.860780965199687</v>
      </c>
      <c r="BI41" s="48">
        <f t="shared" si="13"/>
        <v>23.304537062629201</v>
      </c>
      <c r="BJ41" s="48">
        <f t="shared" si="13"/>
        <v>23.932839674517066</v>
      </c>
    </row>
    <row r="42" spans="2:63" x14ac:dyDescent="0.25">
      <c r="C42" s="34" t="s">
        <v>201</v>
      </c>
      <c r="D42" s="48">
        <f t="shared" ref="D42:BJ42" si="14">D224*0.833</f>
        <v>4.0914856360835028</v>
      </c>
      <c r="E42" s="48">
        <f t="shared" si="14"/>
        <v>4.3068269853510559</v>
      </c>
      <c r="F42" s="48">
        <f t="shared" si="14"/>
        <v>4.5335020898432168</v>
      </c>
      <c r="G42" s="48">
        <f t="shared" si="14"/>
        <v>4.772107462992861</v>
      </c>
      <c r="H42" s="48">
        <f t="shared" si="14"/>
        <v>5.0232710136766956</v>
      </c>
      <c r="I42" s="48">
        <f t="shared" si="14"/>
        <v>5.2876536986070484</v>
      </c>
      <c r="J42" s="48">
        <f t="shared" si="14"/>
        <v>5.5659512616916302</v>
      </c>
      <c r="K42" s="48">
        <f t="shared" si="14"/>
        <v>5.8588960649385582</v>
      </c>
      <c r="L42" s="48">
        <f t="shared" si="14"/>
        <v>6.1672590157247988</v>
      </c>
      <c r="M42" s="48">
        <f t="shared" si="14"/>
        <v>6.4918515954997886</v>
      </c>
      <c r="N42" s="48">
        <f t="shared" si="14"/>
        <v>6.8335279952629353</v>
      </c>
      <c r="O42" s="48">
        <f t="shared" si="14"/>
        <v>6.7823468470603432</v>
      </c>
      <c r="P42" s="48">
        <f t="shared" si="14"/>
        <v>6.8209334858184993</v>
      </c>
      <c r="Q42" s="48">
        <f t="shared" si="14"/>
        <v>6.6173653664958501</v>
      </c>
      <c r="R42" s="48">
        <f t="shared" si="14"/>
        <v>6.5047260307195867</v>
      </c>
      <c r="S42" s="48">
        <f t="shared" si="14"/>
        <v>6.4823959824513944</v>
      </c>
      <c r="T42" s="48">
        <f t="shared" si="14"/>
        <v>6.4991903247828757</v>
      </c>
      <c r="U42" s="48">
        <f t="shared" si="14"/>
        <v>6.267277425006978</v>
      </c>
      <c r="V42" s="48">
        <f t="shared" si="14"/>
        <v>6.2772538238660642</v>
      </c>
      <c r="W42" s="48">
        <f t="shared" si="14"/>
        <v>6.1118581399322727</v>
      </c>
      <c r="X42" s="48">
        <f t="shared" si="14"/>
        <v>6.4377817325770978</v>
      </c>
      <c r="Y42" s="48">
        <f t="shared" si="14"/>
        <v>6.5990023270418643</v>
      </c>
      <c r="Z42" s="48">
        <f t="shared" si="14"/>
        <v>6.2720466852603387</v>
      </c>
      <c r="AA42" s="48">
        <f t="shared" si="14"/>
        <v>5.9658885658252654</v>
      </c>
      <c r="AB42" s="48">
        <f t="shared" si="14"/>
        <v>5.6744920132185834</v>
      </c>
      <c r="AC42" s="48">
        <f t="shared" si="14"/>
        <v>5.3265696274782277</v>
      </c>
      <c r="AD42" s="48">
        <f t="shared" si="14"/>
        <v>4.9049330795939916</v>
      </c>
      <c r="AE42" s="48">
        <f t="shared" si="14"/>
        <v>5.1241217602173217</v>
      </c>
      <c r="AF42" s="48">
        <f t="shared" si="14"/>
        <v>4.999730520479801</v>
      </c>
      <c r="AG42" s="48">
        <f t="shared" si="14"/>
        <v>5.3466080818839998</v>
      </c>
      <c r="AH42" s="48">
        <f t="shared" si="14"/>
        <v>5.285279468659958</v>
      </c>
      <c r="AI42" s="48">
        <f t="shared" si="14"/>
        <v>5.4517815198295638</v>
      </c>
      <c r="AJ42" s="48">
        <f t="shared" si="14"/>
        <v>5.330912489705443</v>
      </c>
      <c r="AK42" s="48">
        <f t="shared" si="14"/>
        <v>5.3615865537257621</v>
      </c>
      <c r="AL42" s="48">
        <f t="shared" si="14"/>
        <v>5.2990614706725125</v>
      </c>
      <c r="AM42" s="48">
        <f t="shared" si="14"/>
        <v>5.5215771977841808</v>
      </c>
      <c r="AN42" s="48">
        <f t="shared" si="14"/>
        <v>5.5330486286734635</v>
      </c>
      <c r="AO42" s="48">
        <f t="shared" si="14"/>
        <v>5.6527110934124547</v>
      </c>
      <c r="AP42" s="48">
        <f t="shared" si="14"/>
        <v>5.8835871854110211</v>
      </c>
      <c r="AQ42" s="48">
        <f t="shared" si="14"/>
        <v>6.0928023705212899</v>
      </c>
      <c r="AR42" s="48">
        <f t="shared" si="14"/>
        <v>6.1877881676044231</v>
      </c>
      <c r="AS42" s="48">
        <f t="shared" si="14"/>
        <v>6.1590559286174189</v>
      </c>
      <c r="AT42" s="48">
        <f t="shared" si="14"/>
        <v>6.0773250316512932</v>
      </c>
      <c r="AU42" s="48">
        <f t="shared" si="14"/>
        <v>6.0460808106709658</v>
      </c>
      <c r="AV42" s="48">
        <f t="shared" si="14"/>
        <v>6.1051448025314672</v>
      </c>
      <c r="AW42" s="48">
        <f t="shared" si="14"/>
        <v>5.9684594891207041</v>
      </c>
      <c r="AX42" s="48">
        <f t="shared" si="14"/>
        <v>5.9590547897806925</v>
      </c>
      <c r="AY42" s="48">
        <f t="shared" si="14"/>
        <v>5.9714683363230581</v>
      </c>
      <c r="AZ42" s="48">
        <f t="shared" si="14"/>
        <v>6.2807774888508776</v>
      </c>
      <c r="BA42" s="48">
        <f t="shared" si="14"/>
        <v>6.2527059173137607</v>
      </c>
      <c r="BB42" s="48">
        <f t="shared" si="14"/>
        <v>6.1138304240198007</v>
      </c>
      <c r="BC42" s="48">
        <f t="shared" si="14"/>
        <v>6.1219004412551516</v>
      </c>
      <c r="BD42" s="48">
        <f t="shared" si="14"/>
        <v>5.9590854230105768</v>
      </c>
      <c r="BE42" s="48">
        <f t="shared" si="14"/>
        <v>6.0132203686139203</v>
      </c>
      <c r="BF42" s="48">
        <f t="shared" si="14"/>
        <v>6.0026150939890615</v>
      </c>
      <c r="BG42" s="48">
        <f t="shared" si="14"/>
        <v>5.9109647462284363</v>
      </c>
      <c r="BH42" s="48">
        <f t="shared" si="14"/>
        <v>5.7801807589722669</v>
      </c>
      <c r="BI42" s="48">
        <f t="shared" si="14"/>
        <v>5.7821257023022676</v>
      </c>
      <c r="BJ42" s="48">
        <f t="shared" si="14"/>
        <v>5.8320328077306662</v>
      </c>
    </row>
    <row r="43" spans="2:63" x14ac:dyDescent="0.25">
      <c r="C43" s="34" t="s">
        <v>202</v>
      </c>
      <c r="D43" s="48">
        <f>D235*0.833</f>
        <v>5.2311853628854328</v>
      </c>
      <c r="E43" s="48">
        <f t="shared" ref="E43:BJ43" si="15">E235*0.833</f>
        <v>5.4491514196723259</v>
      </c>
      <c r="F43" s="48">
        <f t="shared" si="15"/>
        <v>5.6761993954920058</v>
      </c>
      <c r="G43" s="48">
        <f t="shared" si="15"/>
        <v>5.9127077036375066</v>
      </c>
      <c r="H43" s="48">
        <f t="shared" si="15"/>
        <v>6.1590705246224031</v>
      </c>
      <c r="I43" s="48">
        <f t="shared" si="15"/>
        <v>6.4156984631483365</v>
      </c>
      <c r="J43" s="48">
        <f t="shared" si="15"/>
        <v>6.6830192324461848</v>
      </c>
      <c r="K43" s="48">
        <f t="shared" si="15"/>
        <v>6.9614783671314431</v>
      </c>
      <c r="L43" s="48">
        <f t="shared" si="15"/>
        <v>7.2515399657619186</v>
      </c>
      <c r="M43" s="48">
        <f t="shared" si="15"/>
        <v>7.553687464335332</v>
      </c>
      <c r="N43" s="48">
        <f t="shared" si="15"/>
        <v>7.8684244420159724</v>
      </c>
      <c r="O43" s="48">
        <f t="shared" si="15"/>
        <v>7.8508690284576801</v>
      </c>
      <c r="P43" s="48">
        <f t="shared" si="15"/>
        <v>7.9220595370416991</v>
      </c>
      <c r="Q43" s="48">
        <f t="shared" si="15"/>
        <v>7.681625805894357</v>
      </c>
      <c r="R43" s="48">
        <f t="shared" si="15"/>
        <v>7.9649731919494249</v>
      </c>
      <c r="S43" s="48">
        <f t="shared" si="15"/>
        <v>7.7845676755747952</v>
      </c>
      <c r="T43" s="48">
        <f t="shared" si="15"/>
        <v>8.0471315604113158</v>
      </c>
      <c r="U43" s="48">
        <f t="shared" si="15"/>
        <v>7.6676688987241581</v>
      </c>
      <c r="V43" s="48">
        <f t="shared" si="15"/>
        <v>7.9528259110387785</v>
      </c>
      <c r="W43" s="48">
        <f t="shared" si="15"/>
        <v>7.7787290616664126</v>
      </c>
      <c r="X43" s="48">
        <f t="shared" si="15"/>
        <v>7.915853157197108</v>
      </c>
      <c r="Y43" s="48">
        <f t="shared" si="15"/>
        <v>8.1574624898921151</v>
      </c>
      <c r="Z43" s="48">
        <f t="shared" si="15"/>
        <v>7.7543469546412931</v>
      </c>
      <c r="AA43" s="48">
        <f t="shared" si="15"/>
        <v>7.3256117216766903</v>
      </c>
      <c r="AB43" s="48">
        <f t="shared" si="15"/>
        <v>7.0365590749375757</v>
      </c>
      <c r="AC43" s="48">
        <f t="shared" si="15"/>
        <v>6.8112506797255614</v>
      </c>
      <c r="AD43" s="48">
        <f t="shared" si="15"/>
        <v>6.2736442189270702</v>
      </c>
      <c r="AE43" s="48">
        <f t="shared" si="15"/>
        <v>6.390625494187387</v>
      </c>
      <c r="AF43" s="48">
        <f t="shared" si="15"/>
        <v>6.4130139049592829</v>
      </c>
      <c r="AG43" s="48">
        <f t="shared" si="15"/>
        <v>6.0653610302730687</v>
      </c>
      <c r="AH43" s="48">
        <f t="shared" si="15"/>
        <v>6.1740172561767928</v>
      </c>
      <c r="AI43" s="48">
        <f t="shared" si="15"/>
        <v>6.2281945746809706</v>
      </c>
      <c r="AJ43" s="48">
        <f t="shared" si="15"/>
        <v>6.0970969537961075</v>
      </c>
      <c r="AK43" s="48">
        <f t="shared" si="15"/>
        <v>6.1084118885913883</v>
      </c>
      <c r="AL43" s="48">
        <f t="shared" si="15"/>
        <v>6.0284839230948304</v>
      </c>
      <c r="AM43" s="48">
        <f t="shared" si="15"/>
        <v>6.1480500272638547</v>
      </c>
      <c r="AN43" s="48">
        <f t="shared" si="15"/>
        <v>6.2739920761683896</v>
      </c>
      <c r="AO43" s="48">
        <f t="shared" si="15"/>
        <v>6.4729348667101538</v>
      </c>
      <c r="AP43" s="48">
        <f t="shared" si="15"/>
        <v>6.853201205798416</v>
      </c>
      <c r="AQ43" s="48">
        <f t="shared" si="15"/>
        <v>7.0734425657679978</v>
      </c>
      <c r="AR43" s="48">
        <f t="shared" si="15"/>
        <v>7.3080496502243237</v>
      </c>
      <c r="AS43" s="48">
        <f t="shared" si="15"/>
        <v>7.487915522666361</v>
      </c>
      <c r="AT43" s="48">
        <f t="shared" si="15"/>
        <v>7.5116675834353224</v>
      </c>
      <c r="AU43" s="48">
        <f t="shared" si="15"/>
        <v>7.5470637834309722</v>
      </c>
      <c r="AV43" s="48">
        <f t="shared" si="15"/>
        <v>7.6553680619470175</v>
      </c>
      <c r="AW43" s="48">
        <f t="shared" si="15"/>
        <v>7.6790865136186923</v>
      </c>
      <c r="AX43" s="48">
        <f t="shared" si="15"/>
        <v>7.8116245953454886</v>
      </c>
      <c r="AY43" s="48">
        <f t="shared" si="15"/>
        <v>7.9110737848254171</v>
      </c>
      <c r="AZ43" s="48">
        <f t="shared" si="15"/>
        <v>8.1415797516066171</v>
      </c>
      <c r="BA43" s="48">
        <f t="shared" si="15"/>
        <v>8.1682690076283357</v>
      </c>
      <c r="BB43" s="48">
        <f t="shared" si="15"/>
        <v>8.2444849978912895</v>
      </c>
      <c r="BC43" s="48">
        <f t="shared" si="15"/>
        <v>8.4023509747176064</v>
      </c>
      <c r="BD43" s="48">
        <f t="shared" si="15"/>
        <v>8.2017966436579535</v>
      </c>
      <c r="BE43" s="48">
        <f t="shared" si="15"/>
        <v>8.3841130495299439</v>
      </c>
      <c r="BF43" s="48">
        <f t="shared" si="15"/>
        <v>8.4255748336645908</v>
      </c>
      <c r="BG43" s="48">
        <f t="shared" si="15"/>
        <v>8.4168850547578913</v>
      </c>
      <c r="BH43" s="48">
        <f t="shared" si="15"/>
        <v>8.2358644852964282</v>
      </c>
      <c r="BI43" s="48">
        <f t="shared" si="15"/>
        <v>8.6422978998106768</v>
      </c>
      <c r="BJ43" s="48">
        <f t="shared" si="15"/>
        <v>8.8124807876717739</v>
      </c>
    </row>
    <row r="44" spans="2:63" x14ac:dyDescent="0.25">
      <c r="N44" s="47"/>
    </row>
    <row r="45" spans="2:63" x14ac:dyDescent="0.25">
      <c r="C45" s="49" t="s">
        <v>203</v>
      </c>
      <c r="D45" s="48">
        <f>D257*0.833</f>
        <v>24.347128647335342</v>
      </c>
      <c r="E45" s="48">
        <f t="shared" ref="E45:BB46" si="16">E257*0.833</f>
        <v>24.347128647335342</v>
      </c>
      <c r="F45" s="48">
        <f t="shared" si="16"/>
        <v>24.347128647335342</v>
      </c>
      <c r="G45" s="48">
        <f t="shared" si="16"/>
        <v>24.347128647335346</v>
      </c>
      <c r="H45" s="48">
        <f t="shared" si="16"/>
        <v>24.347128647335342</v>
      </c>
      <c r="I45" s="48">
        <f t="shared" si="16"/>
        <v>24.347128647335346</v>
      </c>
      <c r="J45" s="48">
        <f t="shared" si="16"/>
        <v>24.347128647335339</v>
      </c>
      <c r="K45" s="48">
        <f t="shared" si="16"/>
        <v>24.347128647335346</v>
      </c>
      <c r="L45" s="48">
        <f t="shared" si="16"/>
        <v>24.347128647335346</v>
      </c>
      <c r="M45" s="48">
        <f t="shared" si="16"/>
        <v>24.347128647335342</v>
      </c>
      <c r="N45" s="48">
        <f t="shared" si="16"/>
        <v>24.389723096224674</v>
      </c>
      <c r="O45" s="48">
        <f t="shared" si="16"/>
        <v>24.579942711639184</v>
      </c>
      <c r="P45" s="48">
        <f t="shared" si="16"/>
        <v>24.381538053385796</v>
      </c>
      <c r="Q45" s="48">
        <f t="shared" si="16"/>
        <v>24.065463701973837</v>
      </c>
      <c r="R45" s="48">
        <f t="shared" si="16"/>
        <v>24.298760379662383</v>
      </c>
      <c r="S45" s="48">
        <f t="shared" si="16"/>
        <v>25.124752450780576</v>
      </c>
      <c r="T45" s="48">
        <f t="shared" si="16"/>
        <v>25.229262917550663</v>
      </c>
      <c r="U45" s="48">
        <f t="shared" si="16"/>
        <v>24.976311737413486</v>
      </c>
      <c r="V45" s="48">
        <f t="shared" si="16"/>
        <v>24.536868744702616</v>
      </c>
      <c r="W45" s="48">
        <f t="shared" si="16"/>
        <v>24.001796572986244</v>
      </c>
      <c r="X45" s="48">
        <f t="shared" si="16"/>
        <v>24.994722678410817</v>
      </c>
      <c r="Y45" s="48">
        <f t="shared" si="16"/>
        <v>26.143164815462505</v>
      </c>
      <c r="Z45" s="48">
        <f t="shared" si="16"/>
        <v>26.18035560764589</v>
      </c>
      <c r="AA45" s="48">
        <f t="shared" si="16"/>
        <v>26.04466174654647</v>
      </c>
      <c r="AB45" s="48">
        <f t="shared" si="16"/>
        <v>26.460273819310615</v>
      </c>
      <c r="AC45" s="48">
        <f t="shared" si="16"/>
        <v>26.837321046440191</v>
      </c>
      <c r="AD45" s="48">
        <f t="shared" si="16"/>
        <v>26.749333198586132</v>
      </c>
      <c r="AE45" s="48">
        <f t="shared" si="16"/>
        <v>27.640147817488227</v>
      </c>
      <c r="AF45" s="48">
        <f t="shared" si="16"/>
        <v>28.068450623389431</v>
      </c>
      <c r="AG45" s="48">
        <f t="shared" si="16"/>
        <v>29.067526166181828</v>
      </c>
      <c r="AH45" s="48">
        <f t="shared" si="16"/>
        <v>28.203443922872211</v>
      </c>
      <c r="AI45" s="48">
        <f t="shared" si="16"/>
        <v>28.221380102458159</v>
      </c>
      <c r="AJ45" s="48">
        <f t="shared" si="16"/>
        <v>27.755596675844458</v>
      </c>
      <c r="AK45" s="48">
        <f t="shared" si="16"/>
        <v>27.35197797960133</v>
      </c>
      <c r="AL45" s="48">
        <f t="shared" si="16"/>
        <v>27.984624966159632</v>
      </c>
      <c r="AM45" s="48">
        <f t="shared" si="16"/>
        <v>28.760223101920349</v>
      </c>
      <c r="AN45" s="48">
        <f t="shared" si="16"/>
        <v>28.253844439487217</v>
      </c>
      <c r="AO45" s="48">
        <f t="shared" si="16"/>
        <v>28.415287416716836</v>
      </c>
      <c r="AP45" s="48">
        <f t="shared" si="16"/>
        <v>29.044222145508229</v>
      </c>
      <c r="AQ45" s="48">
        <f t="shared" si="16"/>
        <v>29.051069883871421</v>
      </c>
      <c r="AR45" s="48">
        <f t="shared" si="16"/>
        <v>29.051320874445679</v>
      </c>
      <c r="AS45" s="48">
        <f t="shared" si="16"/>
        <v>29.452889360275293</v>
      </c>
      <c r="AT45" s="48">
        <f t="shared" si="16"/>
        <v>29.491364738959959</v>
      </c>
      <c r="AU45" s="48">
        <f t="shared" si="16"/>
        <v>29.80871192160188</v>
      </c>
      <c r="AV45" s="48">
        <f t="shared" si="16"/>
        <v>29.849582828793796</v>
      </c>
      <c r="AW45" s="48">
        <f t="shared" si="16"/>
        <v>29.584495819091718</v>
      </c>
      <c r="AX45" s="48">
        <f t="shared" si="16"/>
        <v>29.927161554212031</v>
      </c>
      <c r="AY45" s="48">
        <f t="shared" si="16"/>
        <v>29.753572946088987</v>
      </c>
      <c r="AZ45" s="48">
        <f t="shared" si="16"/>
        <v>30.209038159503105</v>
      </c>
      <c r="BA45" s="48">
        <f t="shared" si="16"/>
        <v>30.964751059898713</v>
      </c>
      <c r="BB45" s="48">
        <f t="shared" si="16"/>
        <v>31.389051755395037</v>
      </c>
    </row>
    <row r="46" spans="2:63" x14ac:dyDescent="0.25">
      <c r="C46" s="49" t="s">
        <v>204</v>
      </c>
      <c r="D46" s="48">
        <f>D258*0.833</f>
        <v>11.731942135377595</v>
      </c>
      <c r="E46" s="48">
        <f t="shared" si="16"/>
        <v>11.731942135377594</v>
      </c>
      <c r="F46" s="48">
        <f t="shared" si="16"/>
        <v>11.731942135377595</v>
      </c>
      <c r="G46" s="48">
        <f t="shared" si="16"/>
        <v>11.731942135377594</v>
      </c>
      <c r="H46" s="48">
        <f t="shared" si="16"/>
        <v>11.731942135377594</v>
      </c>
      <c r="I46" s="48">
        <f t="shared" si="16"/>
        <v>11.731942135377594</v>
      </c>
      <c r="J46" s="48">
        <f t="shared" si="16"/>
        <v>11.731942135377594</v>
      </c>
      <c r="K46" s="48">
        <f t="shared" si="16"/>
        <v>11.731942135377594</v>
      </c>
      <c r="L46" s="48">
        <f t="shared" si="16"/>
        <v>11.731942135377594</v>
      </c>
      <c r="M46" s="48">
        <f t="shared" si="16"/>
        <v>11.731942135377592</v>
      </c>
      <c r="N46" s="48">
        <f t="shared" si="16"/>
        <v>11.695893332884566</v>
      </c>
      <c r="O46" s="48">
        <f t="shared" si="16"/>
        <v>11.737715085838184</v>
      </c>
      <c r="P46" s="48">
        <f t="shared" si="16"/>
        <v>11.887484158707693</v>
      </c>
      <c r="Q46" s="48">
        <f t="shared" si="16"/>
        <v>11.642610482887317</v>
      </c>
      <c r="R46" s="48">
        <f t="shared" si="16"/>
        <v>11.664355155757891</v>
      </c>
      <c r="S46" s="48">
        <f t="shared" si="16"/>
        <v>11.684991270968906</v>
      </c>
      <c r="T46" s="48">
        <f t="shared" si="16"/>
        <v>11.735750211941186</v>
      </c>
      <c r="U46" s="48">
        <f t="shared" si="16"/>
        <v>11.459267084013385</v>
      </c>
      <c r="V46" s="48">
        <f t="shared" si="16"/>
        <v>11.515463406102089</v>
      </c>
      <c r="W46" s="48">
        <f t="shared" si="16"/>
        <v>11.222407285995692</v>
      </c>
      <c r="X46" s="48">
        <f t="shared" si="16"/>
        <v>11.810494203353596</v>
      </c>
      <c r="Y46" s="48">
        <f t="shared" si="16"/>
        <v>12.261023807565262</v>
      </c>
      <c r="Z46" s="48">
        <f t="shared" si="16"/>
        <v>11.858805189064498</v>
      </c>
      <c r="AA46" s="48">
        <f t="shared" si="16"/>
        <v>11.334039723927097</v>
      </c>
      <c r="AB46" s="48">
        <f t="shared" si="16"/>
        <v>10.979518176247975</v>
      </c>
      <c r="AC46" s="48">
        <f t="shared" si="16"/>
        <v>10.658727505184617</v>
      </c>
      <c r="AD46" s="48">
        <f t="shared" si="16"/>
        <v>10.078569807519022</v>
      </c>
      <c r="AE46" s="48">
        <f t="shared" si="16"/>
        <v>10.805431237776515</v>
      </c>
      <c r="AF46" s="48">
        <f t="shared" si="16"/>
        <v>11.079965082236285</v>
      </c>
      <c r="AG46" s="48">
        <f t="shared" si="16"/>
        <v>12.369352922065119</v>
      </c>
      <c r="AH46" s="48">
        <f t="shared" si="16"/>
        <v>13.597747053005456</v>
      </c>
      <c r="AI46" s="48">
        <f t="shared" si="16"/>
        <v>14.473688877810913</v>
      </c>
      <c r="AJ46" s="48">
        <f t="shared" si="16"/>
        <v>15.063783880916496</v>
      </c>
      <c r="AK46" s="48">
        <f t="shared" si="16"/>
        <v>15.891136242190377</v>
      </c>
      <c r="AL46" s="48">
        <f t="shared" si="16"/>
        <v>17.083320200948112</v>
      </c>
      <c r="AM46" s="48">
        <f t="shared" si="16"/>
        <v>18.440209391947096</v>
      </c>
      <c r="AN46" s="48">
        <f t="shared" si="16"/>
        <v>18.849246549741469</v>
      </c>
      <c r="AO46" s="48">
        <f t="shared" si="16"/>
        <v>19.549752680508487</v>
      </c>
      <c r="AP46" s="48">
        <f t="shared" si="16"/>
        <v>20.384931423718694</v>
      </c>
      <c r="AQ46" s="48">
        <f t="shared" si="16"/>
        <v>21.220851832908281</v>
      </c>
      <c r="AR46" s="48">
        <f t="shared" si="16"/>
        <v>21.730990674780301</v>
      </c>
      <c r="AS46" s="48">
        <f t="shared" si="16"/>
        <v>22.426644858442717</v>
      </c>
      <c r="AT46" s="48">
        <f t="shared" si="16"/>
        <v>22.929706478396007</v>
      </c>
      <c r="AU46" s="48">
        <f t="shared" si="16"/>
        <v>23.547557297078644</v>
      </c>
      <c r="AV46" s="48">
        <f t="shared" si="16"/>
        <v>24.205680996957302</v>
      </c>
      <c r="AW46" s="48">
        <f t="shared" si="16"/>
        <v>24.473726675026349</v>
      </c>
      <c r="AX46" s="48">
        <f t="shared" si="16"/>
        <v>25.231613056762665</v>
      </c>
      <c r="AY46" s="48">
        <f t="shared" si="16"/>
        <v>25.609957336449988</v>
      </c>
      <c r="AZ46" s="48">
        <f t="shared" si="16"/>
        <v>27.06946815800643</v>
      </c>
      <c r="BA46" s="48">
        <f t="shared" si="16"/>
        <v>27.953235900908961</v>
      </c>
      <c r="BB46" s="48">
        <f t="shared" si="16"/>
        <v>28.139190345714404</v>
      </c>
    </row>
    <row r="47" spans="2:63" x14ac:dyDescent="0.25">
      <c r="C47" s="49" t="s">
        <v>205</v>
      </c>
      <c r="D47" s="50">
        <f>35*(1-EXP(-0.025*D45))/100</f>
        <v>0.15957566228914821</v>
      </c>
      <c r="E47" s="50">
        <f>35*(1-EXP(-0.025*E45))/100</f>
        <v>0.15957566228914821</v>
      </c>
      <c r="F47" s="50">
        <f t="shared" ref="F47:BB47" si="17">35*(1-EXP(-0.025*F45))/100</f>
        <v>0.15957566228914821</v>
      </c>
      <c r="G47" s="50">
        <f t="shared" si="17"/>
        <v>0.15957566228914824</v>
      </c>
      <c r="H47" s="50">
        <f t="shared" si="17"/>
        <v>0.15957566228914821</v>
      </c>
      <c r="I47" s="50">
        <f t="shared" si="17"/>
        <v>0.15957566228914824</v>
      </c>
      <c r="J47" s="50">
        <f t="shared" si="17"/>
        <v>0.15957566228914821</v>
      </c>
      <c r="K47" s="50">
        <f t="shared" si="17"/>
        <v>0.15957566228914824</v>
      </c>
      <c r="L47" s="50">
        <f t="shared" si="17"/>
        <v>0.15957566228914824</v>
      </c>
      <c r="M47" s="50">
        <f t="shared" si="17"/>
        <v>0.15957566228914821</v>
      </c>
      <c r="N47" s="50">
        <f t="shared" si="17"/>
        <v>0.15977832985657828</v>
      </c>
      <c r="O47" s="50">
        <f t="shared" si="17"/>
        <v>0.16068077968357733</v>
      </c>
      <c r="P47" s="50">
        <f t="shared" si="17"/>
        <v>0.15973940156086686</v>
      </c>
      <c r="Q47" s="50">
        <f t="shared" si="17"/>
        <v>0.15823003362711793</v>
      </c>
      <c r="R47" s="50">
        <f t="shared" si="17"/>
        <v>0.15934526063216348</v>
      </c>
      <c r="S47" s="50">
        <f t="shared" si="17"/>
        <v>0.16324187261236239</v>
      </c>
      <c r="T47" s="50">
        <f t="shared" si="17"/>
        <v>0.16372919018945534</v>
      </c>
      <c r="U47" s="50">
        <f t="shared" si="17"/>
        <v>0.16254752229460565</v>
      </c>
      <c r="V47" s="50">
        <f t="shared" si="17"/>
        <v>0.16047680163058048</v>
      </c>
      <c r="W47" s="50">
        <f t="shared" si="17"/>
        <v>0.1579245544997479</v>
      </c>
      <c r="X47" s="50">
        <f t="shared" si="17"/>
        <v>0.16263378185425792</v>
      </c>
      <c r="Y47" s="50">
        <f t="shared" si="17"/>
        <v>0.16793677186192457</v>
      </c>
      <c r="Z47" s="50">
        <f t="shared" si="17"/>
        <v>0.16810597008408468</v>
      </c>
      <c r="AA47" s="50">
        <f t="shared" si="17"/>
        <v>0.16748787469921694</v>
      </c>
      <c r="AB47" s="50">
        <f t="shared" si="17"/>
        <v>0.16937441294359271</v>
      </c>
      <c r="AC47" s="50">
        <f t="shared" si="17"/>
        <v>0.17106902296461737</v>
      </c>
      <c r="AD47" s="50">
        <f t="shared" si="17"/>
        <v>0.17067499596405628</v>
      </c>
      <c r="AE47" s="50">
        <f t="shared" si="17"/>
        <v>0.17462448779488315</v>
      </c>
      <c r="AF47" s="50">
        <f t="shared" si="17"/>
        <v>0.1764923155995331</v>
      </c>
      <c r="AG47" s="50">
        <f t="shared" si="17"/>
        <v>0.18077232454272851</v>
      </c>
      <c r="AH47" s="50">
        <f t="shared" si="17"/>
        <v>0.17707688799781174</v>
      </c>
      <c r="AI47" s="50">
        <f t="shared" si="17"/>
        <v>0.17715441011566577</v>
      </c>
      <c r="AJ47" s="50">
        <f t="shared" si="17"/>
        <v>0.17512993060076679</v>
      </c>
      <c r="AK47" s="50">
        <f t="shared" si="17"/>
        <v>0.17335647742683125</v>
      </c>
      <c r="AL47" s="50">
        <f t="shared" si="17"/>
        <v>0.17612832444328919</v>
      </c>
      <c r="AM47" s="50">
        <f t="shared" si="17"/>
        <v>0.17946721307183686</v>
      </c>
      <c r="AN47" s="50">
        <f t="shared" si="17"/>
        <v>0.17729463614075647</v>
      </c>
      <c r="AO47" s="50">
        <f t="shared" si="17"/>
        <v>0.17799028305817796</v>
      </c>
      <c r="AP47" s="50">
        <f t="shared" si="17"/>
        <v>0.18067370368605196</v>
      </c>
      <c r="AQ47" s="50">
        <f t="shared" si="17"/>
        <v>0.18070268875933287</v>
      </c>
      <c r="AR47" s="50">
        <f t="shared" si="17"/>
        <v>0.1807037510567342</v>
      </c>
      <c r="AS47" s="50">
        <f t="shared" si="17"/>
        <v>0.18239484916581919</v>
      </c>
      <c r="AT47" s="50">
        <f t="shared" si="17"/>
        <v>0.1825559884459059</v>
      </c>
      <c r="AU47" s="50">
        <f t="shared" si="17"/>
        <v>0.18387917975043055</v>
      </c>
      <c r="AV47" s="50">
        <f t="shared" si="17"/>
        <v>0.18404883077895423</v>
      </c>
      <c r="AW47" s="50">
        <f t="shared" si="17"/>
        <v>0.18294539099294047</v>
      </c>
      <c r="AX47" s="50">
        <f t="shared" si="17"/>
        <v>0.18437037586967936</v>
      </c>
      <c r="AY47" s="50">
        <f t="shared" si="17"/>
        <v>0.18365002855118884</v>
      </c>
      <c r="AZ47" s="50">
        <f t="shared" si="17"/>
        <v>0.18553345091565329</v>
      </c>
      <c r="BA47" s="50">
        <f t="shared" si="17"/>
        <v>0.18861151997382652</v>
      </c>
      <c r="BB47" s="50">
        <f t="shared" si="17"/>
        <v>0.19031440343162881</v>
      </c>
    </row>
    <row r="48" spans="2:63" x14ac:dyDescent="0.25">
      <c r="C48" s="49" t="s">
        <v>206</v>
      </c>
      <c r="D48" s="50">
        <f t="shared" ref="D48:BB48" si="18">43.75*(1-EXP(-0.025*D46))/100</f>
        <v>0.11121274215320702</v>
      </c>
      <c r="E48" s="50">
        <f t="shared" si="18"/>
        <v>0.11121274215320696</v>
      </c>
      <c r="F48" s="50">
        <f t="shared" si="18"/>
        <v>0.11121274215320702</v>
      </c>
      <c r="G48" s="50">
        <f t="shared" si="18"/>
        <v>0.11121274215320696</v>
      </c>
      <c r="H48" s="50">
        <f t="shared" si="18"/>
        <v>0.11121274215320696</v>
      </c>
      <c r="I48" s="50">
        <f t="shared" si="18"/>
        <v>0.11121274215320696</v>
      </c>
      <c r="J48" s="50">
        <f t="shared" si="18"/>
        <v>0.11121274215320696</v>
      </c>
      <c r="K48" s="50">
        <f t="shared" si="18"/>
        <v>0.11121274215320696</v>
      </c>
      <c r="L48" s="50">
        <f t="shared" si="18"/>
        <v>0.11121274215320696</v>
      </c>
      <c r="M48" s="50">
        <f t="shared" si="18"/>
        <v>0.11121274215320696</v>
      </c>
      <c r="N48" s="50">
        <f t="shared" si="18"/>
        <v>0.11091855298567591</v>
      </c>
      <c r="O48" s="50">
        <f t="shared" si="18"/>
        <v>0.1112598297595818</v>
      </c>
      <c r="P48" s="50">
        <f t="shared" si="18"/>
        <v>0.11247906298805355</v>
      </c>
      <c r="Q48" s="50">
        <f t="shared" si="18"/>
        <v>0.11048323335533489</v>
      </c>
      <c r="R48" s="50">
        <f t="shared" si="18"/>
        <v>0.11066095685956194</v>
      </c>
      <c r="S48" s="50">
        <f t="shared" si="18"/>
        <v>0.11082953057573279</v>
      </c>
      <c r="T48" s="50">
        <f t="shared" si="18"/>
        <v>0.11124380384610733</v>
      </c>
      <c r="U48" s="50">
        <f t="shared" si="18"/>
        <v>0.1089808837749896</v>
      </c>
      <c r="V48" s="50">
        <f t="shared" si="18"/>
        <v>0.10944209886842129</v>
      </c>
      <c r="W48" s="50">
        <f t="shared" si="18"/>
        <v>0.10702978848780774</v>
      </c>
      <c r="X48" s="50">
        <f t="shared" si="18"/>
        <v>0.11185287687011244</v>
      </c>
      <c r="Y48" s="50">
        <f t="shared" si="18"/>
        <v>0.11550014004931991</v>
      </c>
      <c r="Z48" s="50">
        <f t="shared" si="18"/>
        <v>0.11224594778959419</v>
      </c>
      <c r="AA48" s="50">
        <f t="shared" si="18"/>
        <v>0.10795078261415936</v>
      </c>
      <c r="AB48" s="50">
        <f t="shared" si="18"/>
        <v>0.10501699320997183</v>
      </c>
      <c r="AC48" s="50">
        <f t="shared" si="18"/>
        <v>0.10233983630011806</v>
      </c>
      <c r="AD48" s="50">
        <f t="shared" si="18"/>
        <v>9.7443268647691705E-2</v>
      </c>
      <c r="AE48" s="50">
        <f t="shared" si="18"/>
        <v>0.10356681606912473</v>
      </c>
      <c r="AF48" s="50">
        <f t="shared" si="18"/>
        <v>0.10585086800312826</v>
      </c>
      <c r="AG48" s="50">
        <f t="shared" si="18"/>
        <v>0.11637100925335452</v>
      </c>
      <c r="AH48" s="50">
        <f t="shared" si="18"/>
        <v>0.12608294413231028</v>
      </c>
      <c r="AI48" s="50">
        <f t="shared" si="18"/>
        <v>0.13282839736846638</v>
      </c>
      <c r="AJ48" s="50">
        <f t="shared" si="18"/>
        <v>0.13729003632412218</v>
      </c>
      <c r="AK48" s="50">
        <f t="shared" si="18"/>
        <v>0.143435744452453</v>
      </c>
      <c r="AL48" s="50">
        <f t="shared" si="18"/>
        <v>0.15207088893372989</v>
      </c>
      <c r="AM48" s="50">
        <f t="shared" si="18"/>
        <v>0.16159089797073409</v>
      </c>
      <c r="AN48" s="50">
        <f t="shared" si="18"/>
        <v>0.16439794803510263</v>
      </c>
      <c r="AO48" s="50">
        <f t="shared" si="18"/>
        <v>0.16913905373674695</v>
      </c>
      <c r="AP48" s="50">
        <f t="shared" si="18"/>
        <v>0.17468419641627367</v>
      </c>
      <c r="AQ48" s="50">
        <f t="shared" si="18"/>
        <v>0.18011953210604217</v>
      </c>
      <c r="AR48" s="50">
        <f t="shared" si="18"/>
        <v>0.18338118355356364</v>
      </c>
      <c r="AS48" s="50">
        <f t="shared" si="18"/>
        <v>0.18776244552961463</v>
      </c>
      <c r="AT48" s="50">
        <f t="shared" si="18"/>
        <v>0.19088361211917754</v>
      </c>
      <c r="AU48" s="50">
        <f t="shared" si="18"/>
        <v>0.19466364667455832</v>
      </c>
      <c r="AV48" s="50">
        <f t="shared" si="18"/>
        <v>0.1986263667640005</v>
      </c>
      <c r="AW48" s="50">
        <f t="shared" si="18"/>
        <v>0.20022174150248401</v>
      </c>
      <c r="AX48" s="50">
        <f t="shared" si="18"/>
        <v>0.20467516740789446</v>
      </c>
      <c r="AY48" s="50">
        <f t="shared" si="18"/>
        <v>0.20686698389112135</v>
      </c>
      <c r="AZ48" s="50">
        <f t="shared" si="18"/>
        <v>0.21513059135750168</v>
      </c>
      <c r="BA48" s="50">
        <f t="shared" si="18"/>
        <v>0.2199897864503994</v>
      </c>
      <c r="BB48" s="50">
        <f t="shared" si="18"/>
        <v>0.2209986144578612</v>
      </c>
    </row>
    <row r="49" spans="3:54" x14ac:dyDescent="0.25">
      <c r="C49" s="49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0"/>
      <c r="AW49" s="50"/>
      <c r="AX49" s="50"/>
      <c r="AY49" s="50"/>
      <c r="AZ49" s="50"/>
      <c r="BA49" s="50"/>
      <c r="BB49" s="50"/>
    </row>
    <row r="50" spans="3:54" x14ac:dyDescent="0.25">
      <c r="C50" s="49" t="s">
        <v>207</v>
      </c>
      <c r="D50" s="51">
        <f t="shared" ref="D50:AI50" si="19">D45*D$242/D$244+D46*D$243/D$244</f>
        <v>23.478427268870355</v>
      </c>
      <c r="E50" s="51">
        <f t="shared" si="19"/>
        <v>23.006506303856494</v>
      </c>
      <c r="F50" s="51">
        <f t="shared" si="19"/>
        <v>23.108329666134455</v>
      </c>
      <c r="G50" s="51">
        <f t="shared" si="19"/>
        <v>23.032909068193181</v>
      </c>
      <c r="H50" s="51">
        <f t="shared" si="19"/>
        <v>22.794662134534597</v>
      </c>
      <c r="I50" s="51">
        <f t="shared" si="19"/>
        <v>22.880546718264217</v>
      </c>
      <c r="J50" s="51">
        <f t="shared" si="19"/>
        <v>22.704395141888025</v>
      </c>
      <c r="K50" s="51">
        <f t="shared" si="19"/>
        <v>23.268529360508555</v>
      </c>
      <c r="L50" s="51">
        <f t="shared" si="19"/>
        <v>23.658360451878419</v>
      </c>
      <c r="M50" s="51">
        <f t="shared" si="19"/>
        <v>23.830014699056644</v>
      </c>
      <c r="N50" s="51">
        <f t="shared" si="19"/>
        <v>22.750468797521485</v>
      </c>
      <c r="O50" s="51">
        <f t="shared" si="19"/>
        <v>22.955283896529775</v>
      </c>
      <c r="P50" s="51">
        <f t="shared" si="19"/>
        <v>22.838979904524315</v>
      </c>
      <c r="Q50" s="51">
        <f t="shared" si="19"/>
        <v>22.527526646754993</v>
      </c>
      <c r="R50" s="51">
        <f t="shared" si="19"/>
        <v>22.743865833392739</v>
      </c>
      <c r="S50" s="51">
        <f t="shared" si="19"/>
        <v>23.509290304185523</v>
      </c>
      <c r="T50" s="51">
        <f t="shared" si="19"/>
        <v>23.625291486176163</v>
      </c>
      <c r="U50" s="51">
        <f t="shared" si="19"/>
        <v>23.397558705009107</v>
      </c>
      <c r="V50" s="51">
        <f t="shared" si="19"/>
        <v>23.023424673303364</v>
      </c>
      <c r="W50" s="51">
        <f t="shared" si="19"/>
        <v>22.50374528903393</v>
      </c>
      <c r="X50" s="51">
        <f t="shared" si="19"/>
        <v>23.512086501867884</v>
      </c>
      <c r="Y50" s="51">
        <f t="shared" si="19"/>
        <v>24.634600692847787</v>
      </c>
      <c r="Z50" s="51">
        <f t="shared" si="19"/>
        <v>24.664535164528573</v>
      </c>
      <c r="AA50" s="51">
        <f t="shared" si="19"/>
        <v>24.45758965533113</v>
      </c>
      <c r="AB50" s="51">
        <f t="shared" si="19"/>
        <v>24.775923509587518</v>
      </c>
      <c r="AC50" s="51">
        <f t="shared" si="19"/>
        <v>25.078531845126697</v>
      </c>
      <c r="AD50" s="51">
        <f t="shared" si="19"/>
        <v>24.936490463387958</v>
      </c>
      <c r="AE50" s="51">
        <f t="shared" si="19"/>
        <v>25.676690230438638</v>
      </c>
      <c r="AF50" s="51">
        <f t="shared" si="19"/>
        <v>25.970486211682438</v>
      </c>
      <c r="AG50" s="51">
        <f t="shared" si="19"/>
        <v>26.769829009475384</v>
      </c>
      <c r="AH50" s="51">
        <f t="shared" si="19"/>
        <v>25.897167514278749</v>
      </c>
      <c r="AI50" s="51">
        <f t="shared" si="19"/>
        <v>25.902559543886468</v>
      </c>
      <c r="AJ50" s="51">
        <f t="shared" ref="AJ50:BB50" si="20">AJ45*AJ$242/AJ$244+AJ46*AJ$243/AJ$244</f>
        <v>25.437224565792668</v>
      </c>
      <c r="AK50" s="51">
        <f t="shared" si="20"/>
        <v>25.008550294898658</v>
      </c>
      <c r="AL50" s="51">
        <f t="shared" si="20"/>
        <v>25.417999555816259</v>
      </c>
      <c r="AM50" s="51">
        <f t="shared" si="20"/>
        <v>26.078231127793721</v>
      </c>
      <c r="AN50" s="51">
        <f t="shared" si="20"/>
        <v>25.651849532938392</v>
      </c>
      <c r="AO50" s="51">
        <f t="shared" si="20"/>
        <v>25.817190268531142</v>
      </c>
      <c r="AP50" s="51">
        <f t="shared" si="20"/>
        <v>26.41643247790881</v>
      </c>
      <c r="AQ50" s="51">
        <f t="shared" si="20"/>
        <v>26.562444844897268</v>
      </c>
      <c r="AR50" s="51">
        <f t="shared" si="20"/>
        <v>26.644906168445836</v>
      </c>
      <c r="AS50" s="51">
        <f t="shared" si="20"/>
        <v>27.037342572628869</v>
      </c>
      <c r="AT50" s="51">
        <f t="shared" si="20"/>
        <v>27.114331958364513</v>
      </c>
      <c r="AU50" s="51">
        <f t="shared" si="20"/>
        <v>27.384264436441466</v>
      </c>
      <c r="AV50" s="51">
        <f t="shared" si="20"/>
        <v>27.537897616726589</v>
      </c>
      <c r="AW50" s="51">
        <f t="shared" si="20"/>
        <v>27.366503546228586</v>
      </c>
      <c r="AX50" s="51">
        <f t="shared" si="20"/>
        <v>27.771814730730803</v>
      </c>
      <c r="AY50" s="51">
        <f t="shared" si="20"/>
        <v>27.757336122113824</v>
      </c>
      <c r="AZ50" s="51">
        <f t="shared" si="20"/>
        <v>28.635086768387637</v>
      </c>
      <c r="BA50" s="51">
        <f t="shared" si="20"/>
        <v>29.419383034468524</v>
      </c>
      <c r="BB50" s="51">
        <f t="shared" si="20"/>
        <v>29.64599726007539</v>
      </c>
    </row>
    <row r="51" spans="3:54" x14ac:dyDescent="0.25">
      <c r="C51" s="34" t="s">
        <v>196</v>
      </c>
      <c r="D51" s="50">
        <f t="shared" ref="D51:AI51" si="21">D47*D$239/D$241+D48*D$240/D$241</f>
        <v>0.14763239699834313</v>
      </c>
      <c r="E51" s="50">
        <f t="shared" si="21"/>
        <v>0.14737477549663267</v>
      </c>
      <c r="F51" s="50">
        <f t="shared" si="21"/>
        <v>0.14720665278984113</v>
      </c>
      <c r="G51" s="50">
        <f t="shared" si="21"/>
        <v>0.14693632282650526</v>
      </c>
      <c r="H51" s="50">
        <f t="shared" si="21"/>
        <v>0.14699474954390571</v>
      </c>
      <c r="I51" s="50">
        <f t="shared" si="21"/>
        <v>0.14712766261102131</v>
      </c>
      <c r="J51" s="50">
        <f t="shared" si="21"/>
        <v>0.14715526432209963</v>
      </c>
      <c r="K51" s="50">
        <f t="shared" si="21"/>
        <v>0.14721276536470465</v>
      </c>
      <c r="L51" s="50">
        <f t="shared" si="21"/>
        <v>0.14714253099884539</v>
      </c>
      <c r="M51" s="50">
        <f t="shared" si="21"/>
        <v>0.1470219170470678</v>
      </c>
      <c r="N51" s="50">
        <f t="shared" si="21"/>
        <v>0.1472999835144928</v>
      </c>
      <c r="O51" s="50">
        <f t="shared" si="21"/>
        <v>0.14824039505250283</v>
      </c>
      <c r="P51" s="50">
        <f t="shared" si="21"/>
        <v>0.14827057812020003</v>
      </c>
      <c r="Q51" s="50">
        <f t="shared" si="21"/>
        <v>0.1465475622730712</v>
      </c>
      <c r="R51" s="50">
        <f t="shared" si="21"/>
        <v>0.14742415452486934</v>
      </c>
      <c r="S51" s="50">
        <f t="shared" si="21"/>
        <v>0.15036117931815446</v>
      </c>
      <c r="T51" s="50">
        <f t="shared" si="21"/>
        <v>0.15095490304223652</v>
      </c>
      <c r="U51" s="50">
        <f t="shared" si="21"/>
        <v>0.14957088708385496</v>
      </c>
      <c r="V51" s="50">
        <f t="shared" si="21"/>
        <v>0.14837559578494805</v>
      </c>
      <c r="W51" s="50">
        <f t="shared" si="21"/>
        <v>0.14573275997339308</v>
      </c>
      <c r="X51" s="50">
        <f t="shared" si="21"/>
        <v>0.15099280477989488</v>
      </c>
      <c r="Y51" s="50">
        <f t="shared" si="21"/>
        <v>0.15620118045906745</v>
      </c>
      <c r="Z51" s="50">
        <f t="shared" si="21"/>
        <v>0.15555323110656968</v>
      </c>
      <c r="AA51" s="50">
        <f t="shared" si="21"/>
        <v>0.15346033732743328</v>
      </c>
      <c r="AB51" s="50">
        <f t="shared" si="21"/>
        <v>0.15353937333856801</v>
      </c>
      <c r="AC51" s="50">
        <f t="shared" si="21"/>
        <v>0.15360602548156096</v>
      </c>
      <c r="AD51" s="50">
        <f t="shared" si="21"/>
        <v>0.15132249723278485</v>
      </c>
      <c r="AE51" s="50">
        <f t="shared" si="21"/>
        <v>0.15526003751409223</v>
      </c>
      <c r="AF51" s="50">
        <f t="shared" si="21"/>
        <v>0.15645783431187543</v>
      </c>
      <c r="AG51" s="50">
        <f t="shared" si="21"/>
        <v>0.16185575659230395</v>
      </c>
      <c r="AH51" s="50">
        <f t="shared" si="21"/>
        <v>0.1617086296199047</v>
      </c>
      <c r="AI51" s="50">
        <f t="shared" si="21"/>
        <v>0.16363611561162922</v>
      </c>
      <c r="AJ51" s="50">
        <f t="shared" ref="AJ51:BB51" si="22">AJ47*AJ$239/AJ$241+AJ48*AJ$240/AJ$241</f>
        <v>0.16326563603009445</v>
      </c>
      <c r="AK51" s="50">
        <f t="shared" si="22"/>
        <v>0.16350738722587371</v>
      </c>
      <c r="AL51" s="50">
        <f t="shared" si="22"/>
        <v>0.16749700833758235</v>
      </c>
      <c r="AM51" s="50">
        <f t="shared" si="22"/>
        <v>0.17271189074931081</v>
      </c>
      <c r="AN51" s="50">
        <f t="shared" si="22"/>
        <v>0.17228131062597363</v>
      </c>
      <c r="AO51" s="50">
        <f t="shared" si="22"/>
        <v>0.17444457123391371</v>
      </c>
      <c r="AP51" s="50">
        <f t="shared" si="22"/>
        <v>0.17823139444533692</v>
      </c>
      <c r="AQ51" s="50">
        <f t="shared" si="22"/>
        <v>0.1804610713795789</v>
      </c>
      <c r="AR51" s="50">
        <f t="shared" si="22"/>
        <v>0.18183008634988565</v>
      </c>
      <c r="AS51" s="50">
        <f t="shared" si="22"/>
        <v>0.18471812966039275</v>
      </c>
      <c r="AT51" s="50">
        <f t="shared" si="22"/>
        <v>0.18628361331338614</v>
      </c>
      <c r="AU51" s="50">
        <f t="shared" si="22"/>
        <v>0.18894929588073028</v>
      </c>
      <c r="AV51" s="50">
        <f t="shared" si="22"/>
        <v>0.19114645023909277</v>
      </c>
      <c r="AW51" s="50">
        <f t="shared" si="22"/>
        <v>0.19170298586136666</v>
      </c>
      <c r="AX51" s="50">
        <f t="shared" si="22"/>
        <v>0.19508055161389612</v>
      </c>
      <c r="AY51" s="50">
        <f t="shared" si="22"/>
        <v>0.19630390684006505</v>
      </c>
      <c r="AZ51" s="50">
        <f t="shared" si="22"/>
        <v>0.20194351987759496</v>
      </c>
      <c r="BA51" s="50">
        <f t="shared" si="22"/>
        <v>0.20631768793228805</v>
      </c>
      <c r="BB51" s="50">
        <f t="shared" si="22"/>
        <v>0.20837792754899609</v>
      </c>
    </row>
    <row r="52" spans="3:54" x14ac:dyDescent="0.25">
      <c r="C52" s="34"/>
      <c r="D52" s="50"/>
      <c r="E52" s="50"/>
      <c r="F52" s="50"/>
      <c r="G52" s="50"/>
      <c r="H52" s="50"/>
      <c r="I52" s="50"/>
      <c r="J52" s="50"/>
      <c r="K52" s="50"/>
      <c r="L52" s="50"/>
      <c r="M52" s="50"/>
      <c r="N52" s="50"/>
      <c r="O52" s="50"/>
      <c r="P52" s="50"/>
      <c r="Q52" s="50"/>
      <c r="R52" s="50"/>
      <c r="S52" s="50"/>
      <c r="T52" s="50"/>
      <c r="U52" s="50"/>
      <c r="V52" s="50"/>
      <c r="W52" s="50"/>
      <c r="X52" s="50"/>
      <c r="Y52" s="50"/>
      <c r="Z52" s="50"/>
      <c r="AA52" s="50"/>
      <c r="AB52" s="50"/>
      <c r="AC52" s="50"/>
      <c r="AD52" s="50"/>
      <c r="AE52" s="50"/>
      <c r="AF52" s="50"/>
      <c r="AG52" s="50"/>
      <c r="AH52" s="50"/>
      <c r="AI52" s="50"/>
      <c r="AJ52" s="50"/>
      <c r="AK52" s="50"/>
      <c r="AL52" s="50"/>
      <c r="AM52" s="50"/>
      <c r="AN52" s="50"/>
      <c r="AO52" s="50"/>
      <c r="AP52" s="50"/>
      <c r="AQ52" s="50"/>
      <c r="AR52" s="50"/>
      <c r="AS52" s="50"/>
      <c r="AT52" s="50"/>
      <c r="AU52" s="50"/>
      <c r="AV52" s="50"/>
      <c r="AW52" s="50"/>
      <c r="AX52" s="50"/>
      <c r="AY52" s="50"/>
      <c r="AZ52" s="50"/>
      <c r="BA52" s="50"/>
      <c r="BB52" s="50"/>
    </row>
    <row r="93" spans="3:56" x14ac:dyDescent="0.25">
      <c r="C93" s="34"/>
      <c r="D93" s="14">
        <v>0.83299999999999996</v>
      </c>
    </row>
    <row r="94" spans="3:56" x14ac:dyDescent="0.25">
      <c r="C94" s="34" t="s">
        <v>208</v>
      </c>
      <c r="D94" s="14" t="s">
        <v>209</v>
      </c>
      <c r="E94" s="6">
        <v>0</v>
      </c>
      <c r="F94" s="6">
        <v>10</v>
      </c>
      <c r="G94" s="6">
        <v>20</v>
      </c>
      <c r="H94" s="6">
        <v>30</v>
      </c>
      <c r="I94" s="6">
        <v>40</v>
      </c>
      <c r="J94" s="6">
        <v>50</v>
      </c>
      <c r="K94" s="6">
        <v>60</v>
      </c>
      <c r="L94" s="6">
        <v>70</v>
      </c>
      <c r="M94" s="6">
        <v>80</v>
      </c>
      <c r="N94" s="6">
        <v>90</v>
      </c>
      <c r="O94" s="6">
        <v>100</v>
      </c>
      <c r="P94" s="6">
        <v>110</v>
      </c>
      <c r="Q94" s="6">
        <v>120</v>
      </c>
      <c r="R94" s="6">
        <v>130</v>
      </c>
      <c r="S94" s="6">
        <v>140</v>
      </c>
      <c r="T94" s="6">
        <v>150</v>
      </c>
      <c r="U94" s="6">
        <v>160</v>
      </c>
      <c r="V94" s="6">
        <v>170</v>
      </c>
      <c r="W94" s="6">
        <v>180</v>
      </c>
      <c r="X94" s="6">
        <v>190</v>
      </c>
      <c r="Y94" s="6">
        <v>200</v>
      </c>
      <c r="Z94" s="6">
        <v>210</v>
      </c>
      <c r="AA94" s="6">
        <v>220</v>
      </c>
      <c r="AB94" s="6">
        <v>230</v>
      </c>
      <c r="AC94" s="6">
        <v>240</v>
      </c>
      <c r="AD94" s="6">
        <v>250</v>
      </c>
      <c r="AE94" s="6">
        <v>260</v>
      </c>
      <c r="AF94" s="6">
        <v>270</v>
      </c>
      <c r="AG94" s="6">
        <v>280</v>
      </c>
      <c r="AH94" s="6">
        <v>290</v>
      </c>
      <c r="AI94" s="6">
        <v>300</v>
      </c>
      <c r="AJ94" s="6">
        <v>310</v>
      </c>
      <c r="AK94" s="6">
        <v>320</v>
      </c>
      <c r="AL94" s="6">
        <v>330</v>
      </c>
      <c r="AM94" s="6">
        <v>340</v>
      </c>
      <c r="AN94" s="6">
        <v>350</v>
      </c>
      <c r="AO94" s="6">
        <v>360</v>
      </c>
      <c r="AP94" s="6">
        <v>370</v>
      </c>
      <c r="AQ94" s="6">
        <v>380</v>
      </c>
      <c r="AR94" s="6">
        <v>390</v>
      </c>
      <c r="AS94" s="6">
        <v>400</v>
      </c>
      <c r="AT94" s="6">
        <v>410</v>
      </c>
      <c r="AU94" s="6">
        <v>420</v>
      </c>
      <c r="AV94" s="6">
        <v>430</v>
      </c>
      <c r="AW94" s="6">
        <v>440</v>
      </c>
      <c r="AX94" s="6">
        <v>450</v>
      </c>
      <c r="AY94" s="6">
        <v>460</v>
      </c>
      <c r="AZ94" s="6">
        <v>470</v>
      </c>
      <c r="BA94" s="6">
        <v>480</v>
      </c>
      <c r="BB94" s="6">
        <v>490</v>
      </c>
    </row>
    <row r="95" spans="3:56" x14ac:dyDescent="0.25">
      <c r="C95" s="34" t="s">
        <v>210</v>
      </c>
      <c r="D95" s="14" t="s">
        <v>211</v>
      </c>
      <c r="E95" s="6">
        <v>0</v>
      </c>
      <c r="F95" s="46">
        <f t="shared" ref="F95:BB95" si="23">10*LOG(0.416*F94)/100</f>
        <v>6.1909333062674279E-2</v>
      </c>
      <c r="G95" s="52">
        <f t="shared" si="23"/>
        <v>9.2012332629072394E-2</v>
      </c>
      <c r="H95" s="46">
        <f t="shared" si="23"/>
        <v>0.1096214585346405</v>
      </c>
      <c r="I95" s="46">
        <f t="shared" si="23"/>
        <v>0.12211533219547049</v>
      </c>
      <c r="J95" s="46">
        <f t="shared" si="23"/>
        <v>0.13180633349627616</v>
      </c>
      <c r="K95" s="46">
        <f t="shared" si="23"/>
        <v>0.13972445810103865</v>
      </c>
      <c r="L95" s="46">
        <f t="shared" si="23"/>
        <v>0.14641913706409995</v>
      </c>
      <c r="M95" s="46">
        <f t="shared" si="23"/>
        <v>0.15221833176186864</v>
      </c>
      <c r="N95" s="46">
        <f t="shared" si="23"/>
        <v>0.15733358400660674</v>
      </c>
      <c r="O95" s="46">
        <f t="shared" si="23"/>
        <v>0.1619093330626743</v>
      </c>
      <c r="P95" s="46">
        <f t="shared" si="23"/>
        <v>0.1660486015784968</v>
      </c>
      <c r="Q95" s="46">
        <f t="shared" si="23"/>
        <v>0.16982745766743676</v>
      </c>
      <c r="R95" s="46">
        <f t="shared" si="23"/>
        <v>0.17330366829335794</v>
      </c>
      <c r="S95" s="46">
        <f t="shared" si="23"/>
        <v>0.17652213663049807</v>
      </c>
      <c r="T95" s="46">
        <f t="shared" si="23"/>
        <v>0.17951845896824239</v>
      </c>
      <c r="U95" s="46">
        <f t="shared" si="23"/>
        <v>0.18232133132826675</v>
      </c>
      <c r="V95" s="46">
        <f t="shared" si="23"/>
        <v>0.18495422520050167</v>
      </c>
      <c r="W95" s="46">
        <f t="shared" si="23"/>
        <v>0.18743658357300488</v>
      </c>
      <c r="X95" s="46">
        <f t="shared" si="23"/>
        <v>0.18978469315795718</v>
      </c>
      <c r="Y95" s="46">
        <f t="shared" si="23"/>
        <v>0.19201233262907241</v>
      </c>
      <c r="Z95" s="46">
        <f t="shared" si="23"/>
        <v>0.19413126253606619</v>
      </c>
      <c r="AA95" s="46">
        <f t="shared" si="23"/>
        <v>0.19615160114489491</v>
      </c>
      <c r="AB95" s="46">
        <f t="shared" si="23"/>
        <v>0.19808211666443357</v>
      </c>
      <c r="AC95" s="46">
        <f t="shared" si="23"/>
        <v>0.19993045723383487</v>
      </c>
      <c r="AD95" s="46">
        <f t="shared" si="23"/>
        <v>0.20170333392987805</v>
      </c>
      <c r="AE95" s="46">
        <f t="shared" si="23"/>
        <v>0.20340666785975606</v>
      </c>
      <c r="AF95" s="46">
        <f t="shared" si="23"/>
        <v>0.20504570947857303</v>
      </c>
      <c r="AG95" s="46">
        <f t="shared" si="23"/>
        <v>0.20662513619689618</v>
      </c>
      <c r="AH95" s="46">
        <f t="shared" si="23"/>
        <v>0.20814913285256989</v>
      </c>
      <c r="AI95" s="46">
        <f t="shared" si="23"/>
        <v>0.20962145853464054</v>
      </c>
      <c r="AJ95" s="46">
        <f t="shared" si="23"/>
        <v>0.21104550244610151</v>
      </c>
      <c r="AK95" s="46">
        <f t="shared" si="23"/>
        <v>0.21242433089466486</v>
      </c>
      <c r="AL95" s="46">
        <f t="shared" si="23"/>
        <v>0.21376072705046303</v>
      </c>
      <c r="AM95" s="46">
        <f t="shared" si="23"/>
        <v>0.21505722476689976</v>
      </c>
      <c r="AN95" s="46">
        <f t="shared" si="23"/>
        <v>0.21631613749770184</v>
      </c>
      <c r="AO95" s="46">
        <f t="shared" si="23"/>
        <v>0.21753958313940303</v>
      </c>
      <c r="AP95" s="46">
        <f t="shared" si="23"/>
        <v>0.21872950546937378</v>
      </c>
      <c r="AQ95" s="46">
        <f t="shared" si="23"/>
        <v>0.21988769272435529</v>
      </c>
      <c r="AR95" s="46">
        <f t="shared" si="23"/>
        <v>0.22101579376532421</v>
      </c>
      <c r="AS95" s="46">
        <f t="shared" si="23"/>
        <v>0.22211533219547053</v>
      </c>
      <c r="AT95" s="46">
        <f t="shared" si="23"/>
        <v>0.22318771873464782</v>
      </c>
      <c r="AU95" s="46">
        <f t="shared" si="23"/>
        <v>0.22423426210246433</v>
      </c>
      <c r="AV95" s="46">
        <f t="shared" si="23"/>
        <v>0.22525617862063294</v>
      </c>
      <c r="AW95" s="46">
        <f t="shared" si="23"/>
        <v>0.22625460071129302</v>
      </c>
      <c r="AX95" s="46">
        <f t="shared" si="23"/>
        <v>0.22723058444020863</v>
      </c>
      <c r="AY95" s="46">
        <f t="shared" si="23"/>
        <v>0.22818511623083168</v>
      </c>
      <c r="AZ95" s="46">
        <f t="shared" si="23"/>
        <v>0.22911911885624606</v>
      </c>
      <c r="BA95" s="46">
        <f t="shared" si="23"/>
        <v>0.23003345680023302</v>
      </c>
      <c r="BB95" s="46">
        <f t="shared" si="23"/>
        <v>0.23092894106552567</v>
      </c>
      <c r="BC95" s="53"/>
      <c r="BD95" s="46"/>
    </row>
    <row r="96" spans="3:56" x14ac:dyDescent="0.25">
      <c r="C96" s="34" t="s">
        <v>212</v>
      </c>
      <c r="D96" s="14" t="s">
        <v>213</v>
      </c>
      <c r="E96" s="6">
        <v>0</v>
      </c>
      <c r="F96" s="46">
        <f>12.5*LOG(0.416*F94)/100</f>
        <v>7.7386666328342846E-2</v>
      </c>
      <c r="G96" s="52">
        <f>12.5*LOG(0.416*G94)/100</f>
        <v>0.11501541578634049</v>
      </c>
      <c r="H96" s="46">
        <f>12.5*LOG(0.416*H94)/100</f>
        <v>0.13702682316830064</v>
      </c>
      <c r="I96" s="46">
        <f t="shared" ref="I96:BB96" si="24">12.5*LOG(0.416*I94)/100</f>
        <v>0.15264416524433813</v>
      </c>
      <c r="J96" s="46">
        <f t="shared" si="24"/>
        <v>0.16475791687034519</v>
      </c>
      <c r="K96" s="46">
        <f t="shared" si="24"/>
        <v>0.1746555726262983</v>
      </c>
      <c r="L96" s="46">
        <f t="shared" si="24"/>
        <v>0.18302392133012493</v>
      </c>
      <c r="M96" s="46">
        <f t="shared" si="24"/>
        <v>0.19027291470233579</v>
      </c>
      <c r="N96" s="46">
        <f t="shared" si="24"/>
        <v>0.19666698000825844</v>
      </c>
      <c r="O96" s="46">
        <f t="shared" si="24"/>
        <v>0.20238666632834285</v>
      </c>
      <c r="P96" s="46">
        <f t="shared" si="24"/>
        <v>0.20756075197312096</v>
      </c>
      <c r="Q96" s="46">
        <f t="shared" si="24"/>
        <v>0.21228432208429593</v>
      </c>
      <c r="R96" s="46">
        <f t="shared" si="24"/>
        <v>0.21662958536669744</v>
      </c>
      <c r="S96" s="46">
        <f t="shared" si="24"/>
        <v>0.22065267078812259</v>
      </c>
      <c r="T96" s="46">
        <f t="shared" si="24"/>
        <v>0.22439807371030299</v>
      </c>
      <c r="U96" s="46">
        <f t="shared" si="24"/>
        <v>0.22790166416033344</v>
      </c>
      <c r="V96" s="46">
        <f t="shared" si="24"/>
        <v>0.23119278150062708</v>
      </c>
      <c r="W96" s="46">
        <f t="shared" si="24"/>
        <v>0.2342957294662561</v>
      </c>
      <c r="X96" s="46">
        <f t="shared" si="24"/>
        <v>0.23723086644744643</v>
      </c>
      <c r="Y96" s="46">
        <f t="shared" si="24"/>
        <v>0.2400154157863405</v>
      </c>
      <c r="Z96" s="46">
        <f t="shared" si="24"/>
        <v>0.24266407817008276</v>
      </c>
      <c r="AA96" s="46">
        <f t="shared" si="24"/>
        <v>0.24518950143111862</v>
      </c>
      <c r="AB96" s="46">
        <f t="shared" si="24"/>
        <v>0.24760264583054195</v>
      </c>
      <c r="AC96" s="46">
        <f t="shared" si="24"/>
        <v>0.24991307154229359</v>
      </c>
      <c r="AD96" s="46">
        <f t="shared" si="24"/>
        <v>0.25212916741234753</v>
      </c>
      <c r="AE96" s="46">
        <f t="shared" si="24"/>
        <v>0.25425833482469506</v>
      </c>
      <c r="AF96" s="46">
        <f t="shared" si="24"/>
        <v>0.25630713684821627</v>
      </c>
      <c r="AG96" s="46">
        <f t="shared" si="24"/>
        <v>0.25828142024612022</v>
      </c>
      <c r="AH96" s="46">
        <f t="shared" si="24"/>
        <v>0.26018641606571236</v>
      </c>
      <c r="AI96" s="46">
        <f t="shared" si="24"/>
        <v>0.26202682316830067</v>
      </c>
      <c r="AJ96" s="46">
        <f t="shared" si="24"/>
        <v>0.26380687805762693</v>
      </c>
      <c r="AK96" s="46">
        <f t="shared" si="24"/>
        <v>0.26553041361833107</v>
      </c>
      <c r="AL96" s="46">
        <f t="shared" si="24"/>
        <v>0.26720090881307879</v>
      </c>
      <c r="AM96" s="46">
        <f t="shared" si="24"/>
        <v>0.26882153095862471</v>
      </c>
      <c r="AN96" s="46">
        <f t="shared" si="24"/>
        <v>0.2703951718721273</v>
      </c>
      <c r="AO96" s="46">
        <f t="shared" si="24"/>
        <v>0.27192447892425375</v>
      </c>
      <c r="AP96" s="46">
        <f t="shared" si="24"/>
        <v>0.27341188183671722</v>
      </c>
      <c r="AQ96" s="46">
        <f t="shared" si="24"/>
        <v>0.27485961590544411</v>
      </c>
      <c r="AR96" s="46">
        <f t="shared" si="24"/>
        <v>0.27626974220665523</v>
      </c>
      <c r="AS96" s="46">
        <f t="shared" si="24"/>
        <v>0.27764416524433816</v>
      </c>
      <c r="AT96" s="46">
        <f t="shared" si="24"/>
        <v>0.27898464841830978</v>
      </c>
      <c r="AU96" s="46">
        <f t="shared" si="24"/>
        <v>0.28029282762808039</v>
      </c>
      <c r="AV96" s="46">
        <f t="shared" si="24"/>
        <v>0.28157022327579118</v>
      </c>
      <c r="AW96" s="46">
        <f t="shared" si="24"/>
        <v>0.28281825088911627</v>
      </c>
      <c r="AX96" s="46">
        <f t="shared" si="24"/>
        <v>0.28403823055026078</v>
      </c>
      <c r="AY96" s="46">
        <f t="shared" si="24"/>
        <v>0.28523139528853958</v>
      </c>
      <c r="AZ96" s="46">
        <f t="shared" si="24"/>
        <v>0.28639889857030754</v>
      </c>
      <c r="BA96" s="46">
        <f t="shared" si="24"/>
        <v>0.28754182100029124</v>
      </c>
      <c r="BB96" s="46">
        <f t="shared" si="24"/>
        <v>0.28866117633190708</v>
      </c>
      <c r="BC96" s="53"/>
      <c r="BD96" s="46"/>
    </row>
    <row r="97" spans="1:62" x14ac:dyDescent="0.25">
      <c r="A97" s="54"/>
      <c r="B97" s="54"/>
      <c r="C97" s="34" t="s">
        <v>214</v>
      </c>
      <c r="D97" s="14" t="s">
        <v>213</v>
      </c>
      <c r="E97" s="6">
        <v>0</v>
      </c>
      <c r="F97" s="46">
        <f>8*LOG(F94*1.25)/100</f>
        <v>8.7752801040644521E-2</v>
      </c>
      <c r="G97" s="46">
        <f t="shared" ref="G97:BB97" si="25">8*LOG(G94*1.25)/100</f>
        <v>0.11183520069376301</v>
      </c>
      <c r="H97" s="46">
        <f t="shared" si="25"/>
        <v>0.12592250141821751</v>
      </c>
      <c r="I97" s="46">
        <f t="shared" si="25"/>
        <v>0.1359176003468815</v>
      </c>
      <c r="J97" s="46">
        <f t="shared" si="25"/>
        <v>0.14367040138752601</v>
      </c>
      <c r="K97" s="46">
        <f t="shared" si="25"/>
        <v>0.15000490107133602</v>
      </c>
      <c r="L97" s="46">
        <f t="shared" si="25"/>
        <v>0.15536064424178506</v>
      </c>
      <c r="M97" s="46">
        <f t="shared" si="25"/>
        <v>0.16</v>
      </c>
      <c r="N97" s="46">
        <f t="shared" si="25"/>
        <v>0.16409220179579051</v>
      </c>
      <c r="O97" s="46">
        <f t="shared" si="25"/>
        <v>0.16775280104064449</v>
      </c>
      <c r="P97" s="46">
        <f t="shared" si="25"/>
        <v>0.17106421585330253</v>
      </c>
      <c r="Q97" s="46">
        <f t="shared" si="25"/>
        <v>0.1740873007244545</v>
      </c>
      <c r="R97" s="46">
        <f t="shared" si="25"/>
        <v>0.17686826922519144</v>
      </c>
      <c r="S97" s="46">
        <f t="shared" si="25"/>
        <v>0.17944304389490356</v>
      </c>
      <c r="T97" s="46">
        <f t="shared" si="25"/>
        <v>0.18184010176509902</v>
      </c>
      <c r="U97" s="46">
        <f t="shared" si="25"/>
        <v>0.18408239965311851</v>
      </c>
      <c r="V97" s="46">
        <f t="shared" si="25"/>
        <v>0.18618871475090643</v>
      </c>
      <c r="W97" s="46">
        <f t="shared" si="25"/>
        <v>0.18817460144890902</v>
      </c>
      <c r="X97" s="46">
        <f t="shared" si="25"/>
        <v>0.19005308911687085</v>
      </c>
      <c r="Y97" s="46">
        <f t="shared" si="25"/>
        <v>0.191835200693763</v>
      </c>
      <c r="Z97" s="46">
        <f t="shared" si="25"/>
        <v>0.19353034461935806</v>
      </c>
      <c r="AA97" s="46">
        <f t="shared" si="25"/>
        <v>0.19514661550642104</v>
      </c>
      <c r="AB97" s="46">
        <f t="shared" si="25"/>
        <v>0.19669102792205195</v>
      </c>
      <c r="AC97" s="46">
        <f t="shared" si="25"/>
        <v>0.198169700377573</v>
      </c>
      <c r="AD97" s="46">
        <f t="shared" si="25"/>
        <v>0.19958800173440752</v>
      </c>
      <c r="AE97" s="46">
        <f t="shared" si="25"/>
        <v>0.20095066887830995</v>
      </c>
      <c r="AF97" s="46">
        <f t="shared" si="25"/>
        <v>0.20226190217336348</v>
      </c>
      <c r="AG97" s="46">
        <f t="shared" si="25"/>
        <v>0.20352544354802204</v>
      </c>
      <c r="AH97" s="46">
        <f t="shared" si="25"/>
        <v>0.20474464087256097</v>
      </c>
      <c r="AI97" s="46">
        <f t="shared" si="25"/>
        <v>0.2059225014182175</v>
      </c>
      <c r="AJ97" s="46">
        <f t="shared" si="25"/>
        <v>0.2070617365473863</v>
      </c>
      <c r="AK97" s="46">
        <f t="shared" si="25"/>
        <v>0.20816479930623699</v>
      </c>
      <c r="AL97" s="46">
        <f t="shared" si="25"/>
        <v>0.20923391623087551</v>
      </c>
      <c r="AM97" s="46">
        <f t="shared" si="25"/>
        <v>0.21027111440402493</v>
      </c>
      <c r="AN97" s="46">
        <f t="shared" si="25"/>
        <v>0.21127824458866656</v>
      </c>
      <c r="AO97" s="46">
        <f t="shared" si="25"/>
        <v>0.21225700110202747</v>
      </c>
      <c r="AP97" s="46">
        <f t="shared" si="25"/>
        <v>0.2132089389660041</v>
      </c>
      <c r="AQ97" s="46">
        <f t="shared" si="25"/>
        <v>0.21413548876998931</v>
      </c>
      <c r="AR97" s="46">
        <f t="shared" si="25"/>
        <v>0.21503796960276447</v>
      </c>
      <c r="AS97" s="46">
        <f t="shared" si="25"/>
        <v>0.21591760034688151</v>
      </c>
      <c r="AT97" s="46">
        <f t="shared" si="25"/>
        <v>0.21677550957822334</v>
      </c>
      <c r="AU97" s="46">
        <f t="shared" si="25"/>
        <v>0.21761274427247657</v>
      </c>
      <c r="AV97" s="46">
        <f t="shared" si="25"/>
        <v>0.21843027748701144</v>
      </c>
      <c r="AW97" s="46">
        <f t="shared" si="25"/>
        <v>0.21922901515953949</v>
      </c>
      <c r="AX97" s="46">
        <f t="shared" si="25"/>
        <v>0.22000980214267202</v>
      </c>
      <c r="AY97" s="46">
        <f t="shared" si="25"/>
        <v>0.22077342757517043</v>
      </c>
      <c r="AZ97" s="46">
        <f t="shared" si="25"/>
        <v>0.2215206296755019</v>
      </c>
      <c r="BA97" s="46">
        <f t="shared" si="25"/>
        <v>0.22225210003069149</v>
      </c>
      <c r="BB97" s="46">
        <f t="shared" si="25"/>
        <v>0.22296848744292561</v>
      </c>
      <c r="BC97" s="53"/>
      <c r="BD97" s="46"/>
    </row>
    <row r="98" spans="1:62" x14ac:dyDescent="0.25">
      <c r="A98" s="55"/>
      <c r="B98" s="55"/>
      <c r="C98" s="34" t="s">
        <v>215</v>
      </c>
      <c r="D98" s="14" t="s">
        <v>211</v>
      </c>
      <c r="E98" s="6">
        <v>0</v>
      </c>
      <c r="F98" s="52">
        <f>16.8*LOG(0.1916*F94)/100</f>
        <v>4.744244479674431E-2</v>
      </c>
      <c r="G98" s="52">
        <f>16.8*LOG(0.1916*G94)/100</f>
        <v>9.8015484068293135E-2</v>
      </c>
      <c r="H98" s="55">
        <f>16.8*LOG(0.1916*H94)/100</f>
        <v>0.12759881558964759</v>
      </c>
      <c r="I98" s="55">
        <f t="shared" ref="I98:T98" si="26">16.8*LOG(0.1916*I94)/100</f>
        <v>0.14858852333984199</v>
      </c>
      <c r="J98" s="55">
        <f t="shared" si="26"/>
        <v>0.16486940552519549</v>
      </c>
      <c r="K98" s="55">
        <f t="shared" si="26"/>
        <v>0.17817185486119641</v>
      </c>
      <c r="L98" s="55">
        <f t="shared" si="26"/>
        <v>0.18941891551913945</v>
      </c>
      <c r="M98" s="55">
        <f t="shared" si="26"/>
        <v>0.19916156261139084</v>
      </c>
      <c r="N98" s="55">
        <f t="shared" si="26"/>
        <v>0.20775518638255089</v>
      </c>
      <c r="O98" s="55">
        <f t="shared" si="26"/>
        <v>0.21544244479674429</v>
      </c>
      <c r="P98" s="55">
        <f t="shared" si="26"/>
        <v>0.22239641590332609</v>
      </c>
      <c r="Q98" s="55">
        <f t="shared" si="26"/>
        <v>0.22874489413274529</v>
      </c>
      <c r="R98" s="55">
        <f t="shared" si="26"/>
        <v>0.2345849279842929</v>
      </c>
      <c r="S98" s="55">
        <f t="shared" si="26"/>
        <v>0.2399919547906883</v>
      </c>
      <c r="T98" s="55">
        <f t="shared" si="26"/>
        <v>0.24502577631809877</v>
      </c>
      <c r="U98" s="55"/>
      <c r="V98" s="55"/>
      <c r="W98" s="55"/>
      <c r="X98" s="55"/>
      <c r="Y98" s="55"/>
      <c r="Z98" s="55"/>
      <c r="AA98" s="55"/>
      <c r="AB98" s="55"/>
      <c r="AC98" s="55"/>
      <c r="AD98" s="55"/>
      <c r="AE98" s="55"/>
      <c r="AF98" s="55"/>
      <c r="AG98" s="55"/>
      <c r="AH98" s="55"/>
      <c r="AI98" s="55"/>
      <c r="AJ98" s="55"/>
      <c r="AK98" s="55"/>
      <c r="AL98" s="55"/>
      <c r="AM98" s="55"/>
      <c r="AN98" s="55"/>
      <c r="AO98" s="55"/>
      <c r="AP98" s="55"/>
      <c r="AQ98" s="55"/>
      <c r="AR98" s="55"/>
      <c r="AS98" s="55"/>
      <c r="AT98" s="55"/>
      <c r="AU98" s="55"/>
      <c r="AV98" s="55"/>
      <c r="AW98" s="55"/>
      <c r="AX98" s="55"/>
      <c r="AY98" s="55"/>
      <c r="AZ98" s="55"/>
      <c r="BA98" s="55"/>
      <c r="BB98" s="55"/>
      <c r="BC98" s="53"/>
      <c r="BD98" s="46"/>
    </row>
    <row r="99" spans="1:62" x14ac:dyDescent="0.25">
      <c r="A99" s="55"/>
      <c r="B99" s="55"/>
      <c r="C99" s="34" t="s">
        <v>216</v>
      </c>
      <c r="D99" s="14" t="s">
        <v>213</v>
      </c>
      <c r="E99" s="6">
        <v>0</v>
      </c>
      <c r="F99" s="52">
        <f>21*LOG(0.1916*F94)/100</f>
        <v>5.930305599593038E-2</v>
      </c>
      <c r="G99" s="52">
        <f>21*LOG(0.1916*G94)/100</f>
        <v>0.12251935508536642</v>
      </c>
      <c r="H99" s="55">
        <f>21*LOG(0.1916*H94)/100</f>
        <v>0.15949851948705948</v>
      </c>
      <c r="I99" s="55">
        <f t="shared" ref="I99:T99" si="27">21*LOG(0.1916*I94)/100</f>
        <v>0.18573565417480251</v>
      </c>
      <c r="J99" s="55">
        <f t="shared" si="27"/>
        <v>0.20608675690649433</v>
      </c>
      <c r="K99" s="55">
        <f t="shared" si="27"/>
        <v>0.2227148185764955</v>
      </c>
      <c r="L99" s="55">
        <f t="shared" si="27"/>
        <v>0.23677364439892432</v>
      </c>
      <c r="M99" s="55">
        <f t="shared" si="27"/>
        <v>0.24895195326423855</v>
      </c>
      <c r="N99" s="55">
        <f t="shared" si="27"/>
        <v>0.25969398297818858</v>
      </c>
      <c r="O99" s="55">
        <f t="shared" si="27"/>
        <v>0.26930305599593035</v>
      </c>
      <c r="P99" s="55">
        <f t="shared" si="27"/>
        <v>0.2779955198791576</v>
      </c>
      <c r="Q99" s="55">
        <f t="shared" si="27"/>
        <v>0.2859311176659316</v>
      </c>
      <c r="R99" s="55">
        <f t="shared" si="27"/>
        <v>0.29323115998036614</v>
      </c>
      <c r="S99" s="55">
        <f t="shared" si="27"/>
        <v>0.29998994348836039</v>
      </c>
      <c r="T99" s="55">
        <f t="shared" si="27"/>
        <v>0.30628222039762343</v>
      </c>
      <c r="U99" s="55"/>
      <c r="V99" s="55"/>
      <c r="W99" s="55"/>
      <c r="X99" s="55"/>
      <c r="Y99" s="55"/>
      <c r="Z99" s="55"/>
      <c r="AA99" s="55"/>
      <c r="AB99" s="55"/>
      <c r="AC99" s="55"/>
      <c r="AD99" s="55"/>
      <c r="AE99" s="55"/>
      <c r="AF99" s="55"/>
      <c r="AG99" s="55"/>
      <c r="AH99" s="55"/>
      <c r="AI99" s="55"/>
      <c r="AJ99" s="55"/>
      <c r="AK99" s="55"/>
      <c r="AL99" s="55"/>
      <c r="AM99" s="55"/>
      <c r="AN99" s="55"/>
      <c r="AO99" s="55"/>
      <c r="AP99" s="55"/>
      <c r="AQ99" s="55"/>
      <c r="AR99" s="55"/>
      <c r="AS99" s="55"/>
      <c r="AT99" s="55"/>
      <c r="AU99" s="55"/>
      <c r="AV99" s="55"/>
      <c r="AW99" s="55"/>
      <c r="AX99" s="55"/>
      <c r="AY99" s="55"/>
      <c r="AZ99" s="55"/>
      <c r="BA99" s="55"/>
      <c r="BB99" s="55"/>
      <c r="BC99" s="53"/>
      <c r="BD99" s="46"/>
    </row>
    <row r="100" spans="1:62" x14ac:dyDescent="0.25">
      <c r="C100" s="14" t="s">
        <v>217</v>
      </c>
      <c r="E100" s="50">
        <f t="shared" ref="E100:O100" si="28">E94*0.52%</f>
        <v>0</v>
      </c>
      <c r="F100" s="50">
        <f t="shared" si="28"/>
        <v>5.1999999999999998E-2</v>
      </c>
      <c r="G100" s="42">
        <f t="shared" si="28"/>
        <v>0.104</v>
      </c>
      <c r="H100" s="50">
        <f t="shared" si="28"/>
        <v>0.156</v>
      </c>
      <c r="I100" s="50">
        <f t="shared" si="28"/>
        <v>0.20799999999999999</v>
      </c>
      <c r="J100" s="50">
        <f t="shared" si="28"/>
        <v>0.26</v>
      </c>
      <c r="K100" s="50">
        <f t="shared" si="28"/>
        <v>0.312</v>
      </c>
      <c r="L100" s="50">
        <f t="shared" si="28"/>
        <v>0.36399999999999999</v>
      </c>
      <c r="M100" s="50">
        <f t="shared" si="28"/>
        <v>0.41599999999999998</v>
      </c>
      <c r="N100" s="50">
        <f t="shared" si="28"/>
        <v>0.46799999999999997</v>
      </c>
      <c r="O100" s="50">
        <f t="shared" si="28"/>
        <v>0.52</v>
      </c>
    </row>
    <row r="105" spans="1:62" x14ac:dyDescent="0.25">
      <c r="A105" s="6" t="s">
        <v>218</v>
      </c>
    </row>
    <row r="106" spans="1:62" x14ac:dyDescent="0.25">
      <c r="A106" s="6" t="s">
        <v>219</v>
      </c>
      <c r="D106" s="6">
        <v>1960</v>
      </c>
      <c r="E106" s="6">
        <v>1961</v>
      </c>
      <c r="F106" s="6">
        <v>1962</v>
      </c>
      <c r="G106" s="6">
        <v>1963</v>
      </c>
      <c r="H106" s="6">
        <v>1964</v>
      </c>
      <c r="I106" s="6">
        <v>1965</v>
      </c>
      <c r="J106" s="6">
        <v>1966</v>
      </c>
      <c r="K106" s="6">
        <v>1967</v>
      </c>
      <c r="L106" s="6">
        <v>1968</v>
      </c>
      <c r="M106" s="6">
        <v>1969</v>
      </c>
      <c r="N106" s="6">
        <v>1970</v>
      </c>
      <c r="O106" s="6">
        <v>1971</v>
      </c>
      <c r="P106" s="6">
        <v>1972</v>
      </c>
      <c r="Q106" s="6">
        <v>1973</v>
      </c>
      <c r="R106" s="6">
        <v>1974</v>
      </c>
      <c r="S106" s="6">
        <v>1975</v>
      </c>
      <c r="T106" s="6">
        <v>1976</v>
      </c>
      <c r="U106" s="6">
        <v>1977</v>
      </c>
      <c r="V106" s="6">
        <v>1978</v>
      </c>
      <c r="W106" s="6">
        <v>1979</v>
      </c>
      <c r="X106" s="6">
        <v>1980</v>
      </c>
      <c r="Y106" s="6">
        <v>1981</v>
      </c>
      <c r="Z106" s="6">
        <v>1982</v>
      </c>
      <c r="AA106" s="6">
        <v>1983</v>
      </c>
      <c r="AB106" s="6">
        <v>1984</v>
      </c>
      <c r="AC106" s="6">
        <v>1985</v>
      </c>
      <c r="AD106" s="6">
        <v>1986</v>
      </c>
      <c r="AE106" s="6">
        <v>1987</v>
      </c>
      <c r="AF106" s="6">
        <v>1988</v>
      </c>
      <c r="AG106" s="6">
        <v>1989</v>
      </c>
      <c r="AH106" s="6">
        <v>1990</v>
      </c>
      <c r="AI106" s="6">
        <v>1991</v>
      </c>
      <c r="AJ106" s="6">
        <v>1992</v>
      </c>
      <c r="AK106" s="6">
        <v>1993</v>
      </c>
      <c r="AL106" s="6">
        <v>1994</v>
      </c>
      <c r="AM106" s="6">
        <v>1995</v>
      </c>
      <c r="AN106" s="6">
        <v>1996</v>
      </c>
      <c r="AO106" s="6">
        <v>1997</v>
      </c>
      <c r="AP106" s="6">
        <v>1998</v>
      </c>
      <c r="AQ106" s="6">
        <v>1999</v>
      </c>
      <c r="AR106" s="6">
        <v>2000</v>
      </c>
      <c r="AS106" s="6">
        <v>2001</v>
      </c>
      <c r="AT106" s="6">
        <v>2002</v>
      </c>
      <c r="AU106" s="6">
        <v>2003</v>
      </c>
      <c r="AV106" s="6">
        <v>2004</v>
      </c>
      <c r="AW106" s="6">
        <v>2005</v>
      </c>
      <c r="AX106" s="6">
        <v>2006</v>
      </c>
      <c r="AY106" s="6">
        <v>2007</v>
      </c>
      <c r="AZ106" s="6">
        <v>2008</v>
      </c>
      <c r="BA106" s="6">
        <v>2009</v>
      </c>
      <c r="BB106" s="6">
        <v>2010</v>
      </c>
    </row>
    <row r="107" spans="1:62" x14ac:dyDescent="0.25">
      <c r="A107" s="56">
        <v>4463</v>
      </c>
      <c r="B107" s="56"/>
      <c r="C107" s="56" t="s">
        <v>220</v>
      </c>
      <c r="D107" s="57">
        <v>8141.4920000000002</v>
      </c>
      <c r="E107" s="57">
        <v>8694.277</v>
      </c>
      <c r="F107" s="57">
        <v>9146.1740000000009</v>
      </c>
      <c r="G107" s="57">
        <v>9656.9220000000005</v>
      </c>
      <c r="H107" s="57">
        <v>10689.977999999999</v>
      </c>
      <c r="I107" s="57">
        <v>11466.609</v>
      </c>
      <c r="J107" s="57">
        <v>12089.806</v>
      </c>
      <c r="K107" s="57">
        <v>12903.22</v>
      </c>
      <c r="L107" s="57">
        <v>13675.647000000001</v>
      </c>
      <c r="M107" s="57">
        <v>14128.594999999999</v>
      </c>
      <c r="N107" s="57">
        <v>14959.874</v>
      </c>
      <c r="O107" s="57">
        <v>15725.995999999999</v>
      </c>
      <c r="P107" s="57">
        <v>16708.608</v>
      </c>
      <c r="Q107" s="57">
        <v>17788.955999999998</v>
      </c>
      <c r="R107" s="57">
        <v>17323.397000000001</v>
      </c>
      <c r="S107" s="57">
        <v>16946.116000000002</v>
      </c>
      <c r="T107" s="57">
        <v>17738.511999999999</v>
      </c>
      <c r="U107" s="57">
        <v>18218.782999999999</v>
      </c>
      <c r="V107" s="57">
        <v>19282.315999999999</v>
      </c>
      <c r="W107" s="57">
        <v>19636.476999999999</v>
      </c>
      <c r="X107" s="57">
        <v>20119.901000000002</v>
      </c>
      <c r="Y107" s="57">
        <v>19671.156999999999</v>
      </c>
      <c r="Z107" s="57">
        <v>20227.095000000001</v>
      </c>
      <c r="AA107" s="57">
        <v>20562.339</v>
      </c>
      <c r="AB107" s="57">
        <v>21255.947</v>
      </c>
      <c r="AC107" s="57">
        <v>21441.96</v>
      </c>
      <c r="AD107" s="57">
        <v>22563.294000000002</v>
      </c>
      <c r="AE107" s="57">
        <v>23313.651999999998</v>
      </c>
      <c r="AF107" s="57">
        <v>24432.883999999998</v>
      </c>
      <c r="AG107" s="57">
        <v>25142.257000000001</v>
      </c>
      <c r="AH107" s="57">
        <v>25550.013999999999</v>
      </c>
      <c r="AI107" s="57">
        <v>25244.196</v>
      </c>
      <c r="AJ107" s="57">
        <v>25268.366999999998</v>
      </c>
      <c r="AK107" s="57">
        <v>24976.210999999999</v>
      </c>
      <c r="AL107" s="57">
        <v>24006.21</v>
      </c>
      <c r="AM107" s="57">
        <v>23070.888999999999</v>
      </c>
      <c r="AN107" s="57">
        <v>23550.11</v>
      </c>
      <c r="AO107" s="57">
        <v>23385.115000000002</v>
      </c>
      <c r="AP107" s="57">
        <v>22960.543000000001</v>
      </c>
      <c r="AQ107" s="57">
        <v>23747.683000000001</v>
      </c>
      <c r="AR107" s="57">
        <v>22703.066999999999</v>
      </c>
      <c r="AS107" s="57">
        <v>21998.949000000001</v>
      </c>
      <c r="AT107" s="57">
        <v>21867.583999999999</v>
      </c>
      <c r="AU107" s="57">
        <v>20932.262999999999</v>
      </c>
      <c r="AV107" s="57">
        <v>20476.163</v>
      </c>
      <c r="AW107" s="57">
        <v>19684.819</v>
      </c>
      <c r="AX107" s="57">
        <v>19067.928</v>
      </c>
      <c r="AY107" s="57">
        <v>18486.768</v>
      </c>
      <c r="AZ107" s="57">
        <v>17511.511999999999</v>
      </c>
      <c r="BA107" s="58">
        <v>16564.632000000001</v>
      </c>
      <c r="BB107" s="58">
        <v>15751.218000000001</v>
      </c>
      <c r="BC107" s="59"/>
    </row>
    <row r="108" spans="1:62" x14ac:dyDescent="0.25">
      <c r="A108" s="56">
        <v>4468</v>
      </c>
      <c r="B108" s="56"/>
      <c r="C108" s="56" t="s">
        <v>221</v>
      </c>
      <c r="D108" s="57">
        <v>2669.877</v>
      </c>
      <c r="E108" s="57">
        <v>2933.4050000000002</v>
      </c>
      <c r="F108" s="57">
        <v>3143.0070000000001</v>
      </c>
      <c r="G108" s="57">
        <v>3416.71</v>
      </c>
      <c r="H108" s="57">
        <v>3758.5839999999998</v>
      </c>
      <c r="I108" s="57">
        <v>3974.2910000000002</v>
      </c>
      <c r="J108" s="57">
        <v>4177.7870000000003</v>
      </c>
      <c r="K108" s="57">
        <v>4431.1409999999996</v>
      </c>
      <c r="L108" s="57">
        <v>4732.3159999999998</v>
      </c>
      <c r="M108" s="57">
        <v>4953.1099999999997</v>
      </c>
      <c r="N108" s="57">
        <v>5123.03</v>
      </c>
      <c r="O108" s="57">
        <v>5276.67</v>
      </c>
      <c r="P108" s="57">
        <v>5345.8580000000002</v>
      </c>
      <c r="Q108" s="57">
        <v>5756.9219999999996</v>
      </c>
      <c r="R108" s="57">
        <v>5614.4740000000002</v>
      </c>
      <c r="S108" s="57">
        <v>5508.6559999999999</v>
      </c>
      <c r="T108" s="57">
        <v>5691.8029999999999</v>
      </c>
      <c r="U108" s="57">
        <v>5810.848</v>
      </c>
      <c r="V108" s="57">
        <v>5977.7160000000003</v>
      </c>
      <c r="W108" s="57">
        <v>6162.8980000000001</v>
      </c>
      <c r="X108" s="57">
        <v>5956.3490000000002</v>
      </c>
      <c r="Y108" s="57">
        <v>5646.0159999999996</v>
      </c>
      <c r="Z108" s="57">
        <v>5831.1980000000003</v>
      </c>
      <c r="AA108" s="57">
        <v>6291.1009999999997</v>
      </c>
      <c r="AB108" s="57">
        <v>6873.1009999999997</v>
      </c>
      <c r="AC108" s="57">
        <v>7230.2380000000003</v>
      </c>
      <c r="AD108" s="57">
        <v>8003.5249999999996</v>
      </c>
      <c r="AE108" s="57">
        <v>8617.0679999999993</v>
      </c>
      <c r="AF108" s="57">
        <v>9533.8209999999999</v>
      </c>
      <c r="AG108" s="57">
        <v>10294.897999999999</v>
      </c>
      <c r="AH108" s="57">
        <v>10838.234</v>
      </c>
      <c r="AI108" s="57">
        <v>10880.968999999999</v>
      </c>
      <c r="AJ108" s="57">
        <v>11326.627</v>
      </c>
      <c r="AK108" s="57">
        <v>12012.41</v>
      </c>
      <c r="AL108" s="57">
        <v>13140.8</v>
      </c>
      <c r="AM108" s="57">
        <v>13692.276</v>
      </c>
      <c r="AN108" s="57">
        <v>14616.151</v>
      </c>
      <c r="AO108" s="57">
        <v>15237.833000000001</v>
      </c>
      <c r="AP108" s="57">
        <v>15407.753000000001</v>
      </c>
      <c r="AQ108" s="57">
        <v>15779.134</v>
      </c>
      <c r="AR108" s="57">
        <v>16158.656000000001</v>
      </c>
      <c r="AS108" s="57">
        <v>16705.044000000002</v>
      </c>
      <c r="AT108" s="57">
        <v>17221.925999999999</v>
      </c>
      <c r="AU108" s="57">
        <v>18021.668000000001</v>
      </c>
      <c r="AV108" s="57">
        <v>18837.689999999999</v>
      </c>
      <c r="AW108" s="57">
        <v>19775.810000000001</v>
      </c>
      <c r="AX108" s="57">
        <v>20498.223000000002</v>
      </c>
      <c r="AY108" s="57">
        <v>21407.852999999999</v>
      </c>
      <c r="AZ108" s="57">
        <v>20932.687999999998</v>
      </c>
      <c r="BA108" s="58">
        <v>20407.667000000001</v>
      </c>
      <c r="BB108" s="58">
        <v>21237.934000000001</v>
      </c>
      <c r="BC108" s="59"/>
    </row>
    <row r="109" spans="1:62" x14ac:dyDescent="0.25">
      <c r="C109" s="60" t="s">
        <v>222</v>
      </c>
      <c r="D109" s="58">
        <f t="shared" ref="D109:AI109" si="29">SUM(D107:D108)</f>
        <v>10811.369000000001</v>
      </c>
      <c r="E109" s="58">
        <f t="shared" si="29"/>
        <v>11627.682000000001</v>
      </c>
      <c r="F109" s="58">
        <f t="shared" si="29"/>
        <v>12289.181</v>
      </c>
      <c r="G109" s="58">
        <f t="shared" si="29"/>
        <v>13073.632000000001</v>
      </c>
      <c r="H109" s="58">
        <f t="shared" si="29"/>
        <v>14448.561999999998</v>
      </c>
      <c r="I109" s="58">
        <f t="shared" si="29"/>
        <v>15440.900000000001</v>
      </c>
      <c r="J109" s="58">
        <f t="shared" si="29"/>
        <v>16267.593000000001</v>
      </c>
      <c r="K109" s="58">
        <f t="shared" si="29"/>
        <v>17334.360999999997</v>
      </c>
      <c r="L109" s="58">
        <f t="shared" si="29"/>
        <v>18407.963</v>
      </c>
      <c r="M109" s="58">
        <f t="shared" si="29"/>
        <v>19081.704999999998</v>
      </c>
      <c r="N109" s="58">
        <f t="shared" si="29"/>
        <v>20082.903999999999</v>
      </c>
      <c r="O109" s="58">
        <f t="shared" si="29"/>
        <v>21002.665999999997</v>
      </c>
      <c r="P109" s="58">
        <f t="shared" si="29"/>
        <v>22054.466</v>
      </c>
      <c r="Q109" s="58">
        <f t="shared" si="29"/>
        <v>23545.877999999997</v>
      </c>
      <c r="R109" s="58">
        <f t="shared" si="29"/>
        <v>22937.870999999999</v>
      </c>
      <c r="S109" s="58">
        <f t="shared" si="29"/>
        <v>22454.772000000001</v>
      </c>
      <c r="T109" s="58">
        <f t="shared" si="29"/>
        <v>23430.314999999999</v>
      </c>
      <c r="U109" s="58">
        <f t="shared" si="29"/>
        <v>24029.631000000001</v>
      </c>
      <c r="V109" s="58">
        <f t="shared" si="29"/>
        <v>25260.031999999999</v>
      </c>
      <c r="W109" s="58">
        <f t="shared" si="29"/>
        <v>25799.375</v>
      </c>
      <c r="X109" s="58">
        <f t="shared" si="29"/>
        <v>26076.25</v>
      </c>
      <c r="Y109" s="58">
        <f t="shared" si="29"/>
        <v>25317.172999999999</v>
      </c>
      <c r="Z109" s="58">
        <f t="shared" si="29"/>
        <v>26058.293000000001</v>
      </c>
      <c r="AA109" s="58">
        <f t="shared" si="29"/>
        <v>26853.439999999999</v>
      </c>
      <c r="AB109" s="58">
        <f t="shared" si="29"/>
        <v>28129.047999999999</v>
      </c>
      <c r="AC109" s="58">
        <f t="shared" si="29"/>
        <v>28672.198</v>
      </c>
      <c r="AD109" s="58">
        <f t="shared" si="29"/>
        <v>30566.819000000003</v>
      </c>
      <c r="AE109" s="58">
        <f t="shared" si="29"/>
        <v>31930.719999999998</v>
      </c>
      <c r="AF109" s="58">
        <f t="shared" si="29"/>
        <v>33966.705000000002</v>
      </c>
      <c r="AG109" s="58">
        <f t="shared" si="29"/>
        <v>35437.154999999999</v>
      </c>
      <c r="AH109" s="58">
        <f t="shared" si="29"/>
        <v>36388.248</v>
      </c>
      <c r="AI109" s="58">
        <f t="shared" si="29"/>
        <v>36125.165000000001</v>
      </c>
      <c r="AJ109" s="58">
        <f t="shared" ref="AJ109:BB109" si="30">SUM(AJ107:AJ108)</f>
        <v>36594.993999999999</v>
      </c>
      <c r="AK109" s="58">
        <f t="shared" si="30"/>
        <v>36988.620999999999</v>
      </c>
      <c r="AL109" s="58">
        <f t="shared" si="30"/>
        <v>37147.009999999995</v>
      </c>
      <c r="AM109" s="58">
        <f t="shared" si="30"/>
        <v>36763.165000000001</v>
      </c>
      <c r="AN109" s="58">
        <f t="shared" si="30"/>
        <v>38166.260999999999</v>
      </c>
      <c r="AO109" s="58">
        <f t="shared" si="30"/>
        <v>38622.948000000004</v>
      </c>
      <c r="AP109" s="58">
        <f t="shared" si="30"/>
        <v>38368.296000000002</v>
      </c>
      <c r="AQ109" s="58">
        <f t="shared" si="30"/>
        <v>39526.817000000003</v>
      </c>
      <c r="AR109" s="58">
        <f t="shared" si="30"/>
        <v>38861.722999999998</v>
      </c>
      <c r="AS109" s="58">
        <f t="shared" si="30"/>
        <v>38703.993000000002</v>
      </c>
      <c r="AT109" s="58">
        <f t="shared" si="30"/>
        <v>39089.509999999995</v>
      </c>
      <c r="AU109" s="58">
        <f t="shared" si="30"/>
        <v>38953.930999999997</v>
      </c>
      <c r="AV109" s="58">
        <f t="shared" si="30"/>
        <v>39313.853000000003</v>
      </c>
      <c r="AW109" s="58">
        <f t="shared" si="30"/>
        <v>39460.629000000001</v>
      </c>
      <c r="AX109" s="58">
        <f t="shared" si="30"/>
        <v>39566.150999999998</v>
      </c>
      <c r="AY109" s="58">
        <f t="shared" si="30"/>
        <v>39894.620999999999</v>
      </c>
      <c r="AZ109" s="58">
        <f t="shared" si="30"/>
        <v>38444.199999999997</v>
      </c>
      <c r="BA109" s="58">
        <f t="shared" si="30"/>
        <v>36972.298999999999</v>
      </c>
      <c r="BB109" s="58">
        <f t="shared" si="30"/>
        <v>36989.152000000002</v>
      </c>
      <c r="BC109" s="59"/>
    </row>
    <row r="111" spans="1:62" x14ac:dyDescent="0.25">
      <c r="A111" s="6" t="s">
        <v>218</v>
      </c>
    </row>
    <row r="112" spans="1:62" x14ac:dyDescent="0.25">
      <c r="A112" s="6" t="s">
        <v>223</v>
      </c>
      <c r="D112" s="6">
        <v>1960</v>
      </c>
      <c r="E112" s="6">
        <v>1961</v>
      </c>
      <c r="F112" s="6">
        <v>1962</v>
      </c>
      <c r="G112" s="6">
        <v>1963</v>
      </c>
      <c r="H112" s="6">
        <v>1964</v>
      </c>
      <c r="I112" s="6">
        <v>1965</v>
      </c>
      <c r="J112" s="6">
        <v>1966</v>
      </c>
      <c r="K112" s="6">
        <v>1967</v>
      </c>
      <c r="L112" s="6">
        <v>1968</v>
      </c>
      <c r="M112" s="6">
        <v>1969</v>
      </c>
      <c r="N112" s="6">
        <v>1970</v>
      </c>
      <c r="O112" s="6">
        <v>1971</v>
      </c>
      <c r="P112" s="6">
        <v>1972</v>
      </c>
      <c r="Q112" s="6">
        <v>1973</v>
      </c>
      <c r="R112" s="6">
        <v>1974</v>
      </c>
      <c r="S112" s="6">
        <v>1975</v>
      </c>
      <c r="T112" s="6">
        <v>1976</v>
      </c>
      <c r="U112" s="6">
        <v>1977</v>
      </c>
      <c r="V112" s="6">
        <v>1978</v>
      </c>
      <c r="W112" s="6">
        <v>1979</v>
      </c>
      <c r="X112" s="6">
        <v>1980</v>
      </c>
      <c r="Y112" s="6">
        <v>1981</v>
      </c>
      <c r="Z112" s="6">
        <v>1982</v>
      </c>
      <c r="AA112" s="6">
        <v>1983</v>
      </c>
      <c r="AB112" s="6">
        <v>1984</v>
      </c>
      <c r="AC112" s="6">
        <v>1985</v>
      </c>
      <c r="AD112" s="6">
        <v>1986</v>
      </c>
      <c r="AE112" s="6">
        <v>1987</v>
      </c>
      <c r="AF112" s="6">
        <v>1988</v>
      </c>
      <c r="AG112" s="6">
        <v>1989</v>
      </c>
      <c r="AH112" s="6">
        <v>1990</v>
      </c>
      <c r="AI112" s="6">
        <v>1991</v>
      </c>
      <c r="AJ112" s="6">
        <v>1992</v>
      </c>
      <c r="AK112" s="6">
        <v>1993</v>
      </c>
      <c r="AL112" s="6">
        <v>1994</v>
      </c>
      <c r="AM112" s="6">
        <v>1995</v>
      </c>
      <c r="AN112" s="6">
        <v>1996</v>
      </c>
      <c r="AO112" s="6">
        <v>1997</v>
      </c>
      <c r="AP112" s="6">
        <v>1998</v>
      </c>
      <c r="AQ112" s="6">
        <v>1999</v>
      </c>
      <c r="AR112" s="6">
        <v>2000</v>
      </c>
      <c r="AS112" s="6">
        <v>2001</v>
      </c>
      <c r="AT112" s="6">
        <v>2002</v>
      </c>
      <c r="AU112" s="6">
        <v>2003</v>
      </c>
      <c r="AV112" s="6">
        <v>2004</v>
      </c>
      <c r="AW112" s="6">
        <v>2005</v>
      </c>
      <c r="AX112" s="6">
        <v>2006</v>
      </c>
      <c r="AY112" s="6">
        <v>2007</v>
      </c>
      <c r="AZ112" s="6">
        <v>2008</v>
      </c>
      <c r="BA112" s="6">
        <v>2009</v>
      </c>
      <c r="BB112" s="6">
        <v>2010</v>
      </c>
      <c r="BC112" s="6">
        <v>2011</v>
      </c>
      <c r="BD112" s="6">
        <v>2012</v>
      </c>
      <c r="BE112" s="6">
        <v>2013</v>
      </c>
      <c r="BF112" s="6">
        <v>2014</v>
      </c>
      <c r="BG112" s="6">
        <v>2015</v>
      </c>
      <c r="BH112" s="6">
        <v>2016</v>
      </c>
      <c r="BI112" s="6">
        <v>2017</v>
      </c>
      <c r="BJ112" s="6">
        <v>2018</v>
      </c>
    </row>
    <row r="113" spans="1:63" x14ac:dyDescent="0.25">
      <c r="A113" s="56">
        <v>4463</v>
      </c>
      <c r="B113" s="56"/>
      <c r="C113" s="56" t="s">
        <v>224</v>
      </c>
      <c r="D113" s="61">
        <f>D107/1000</f>
        <v>8.1414919999999995</v>
      </c>
      <c r="E113" s="61">
        <f t="shared" ref="E113:BB114" si="31">E107/1000</f>
        <v>8.6942769999999996</v>
      </c>
      <c r="F113" s="61">
        <f t="shared" si="31"/>
        <v>9.1461740000000002</v>
      </c>
      <c r="G113" s="61">
        <f t="shared" si="31"/>
        <v>9.6569219999999998</v>
      </c>
      <c r="H113" s="61">
        <f t="shared" si="31"/>
        <v>10.689978</v>
      </c>
      <c r="I113" s="61">
        <f t="shared" si="31"/>
        <v>11.466609</v>
      </c>
      <c r="J113" s="61">
        <f t="shared" si="31"/>
        <v>12.089806000000001</v>
      </c>
      <c r="K113" s="61">
        <f t="shared" si="31"/>
        <v>12.903219999999999</v>
      </c>
      <c r="L113" s="61">
        <f t="shared" si="31"/>
        <v>13.675647000000001</v>
      </c>
      <c r="M113" s="61">
        <f t="shared" si="31"/>
        <v>14.128594999999999</v>
      </c>
      <c r="N113" s="61">
        <f t="shared" si="31"/>
        <v>14.959873999999999</v>
      </c>
      <c r="O113" s="61">
        <f t="shared" si="31"/>
        <v>15.725995999999999</v>
      </c>
      <c r="P113" s="61">
        <f t="shared" si="31"/>
        <v>16.708608000000002</v>
      </c>
      <c r="Q113" s="61">
        <f t="shared" si="31"/>
        <v>17.788955999999999</v>
      </c>
      <c r="R113" s="61">
        <f t="shared" si="31"/>
        <v>17.323397</v>
      </c>
      <c r="S113" s="61">
        <f t="shared" si="31"/>
        <v>16.946116000000004</v>
      </c>
      <c r="T113" s="61">
        <f t="shared" si="31"/>
        <v>17.738512</v>
      </c>
      <c r="U113" s="61">
        <f t="shared" si="31"/>
        <v>18.218782999999998</v>
      </c>
      <c r="V113" s="61">
        <f t="shared" si="31"/>
        <v>19.282315999999998</v>
      </c>
      <c r="W113" s="61">
        <f t="shared" si="31"/>
        <v>19.636476999999999</v>
      </c>
      <c r="X113" s="61">
        <f t="shared" si="31"/>
        <v>20.119901000000002</v>
      </c>
      <c r="Y113" s="61">
        <f t="shared" si="31"/>
        <v>19.671157000000001</v>
      </c>
      <c r="Z113" s="61">
        <f t="shared" si="31"/>
        <v>20.227095000000002</v>
      </c>
      <c r="AA113" s="61">
        <f t="shared" si="31"/>
        <v>20.562339000000001</v>
      </c>
      <c r="AB113" s="61">
        <f t="shared" si="31"/>
        <v>21.255946999999999</v>
      </c>
      <c r="AC113" s="61">
        <f t="shared" si="31"/>
        <v>21.441959999999998</v>
      </c>
      <c r="AD113" s="61">
        <f t="shared" si="31"/>
        <v>22.563294000000003</v>
      </c>
      <c r="AE113" s="61">
        <f t="shared" si="31"/>
        <v>23.313651999999998</v>
      </c>
      <c r="AF113" s="61">
        <f t="shared" si="31"/>
        <v>24.432883999999998</v>
      </c>
      <c r="AG113" s="61">
        <f t="shared" si="31"/>
        <v>25.142257000000001</v>
      </c>
      <c r="AH113" s="61">
        <f t="shared" si="31"/>
        <v>25.550014000000001</v>
      </c>
      <c r="AI113" s="61">
        <f t="shared" si="31"/>
        <v>25.244195999999999</v>
      </c>
      <c r="AJ113" s="61">
        <f t="shared" si="31"/>
        <v>25.268366999999998</v>
      </c>
      <c r="AK113" s="61">
        <f t="shared" si="31"/>
        <v>24.976210999999999</v>
      </c>
      <c r="AL113" s="61">
        <f t="shared" si="31"/>
        <v>24.006209999999999</v>
      </c>
      <c r="AM113" s="61">
        <f t="shared" si="31"/>
        <v>23.070888999999998</v>
      </c>
      <c r="AN113" s="61">
        <f t="shared" si="31"/>
        <v>23.55011</v>
      </c>
      <c r="AO113" s="61">
        <f t="shared" si="31"/>
        <v>23.385115000000003</v>
      </c>
      <c r="AP113" s="61">
        <f t="shared" si="31"/>
        <v>22.960543000000001</v>
      </c>
      <c r="AQ113" s="61">
        <f t="shared" si="31"/>
        <v>23.747683000000002</v>
      </c>
      <c r="AR113" s="61">
        <f t="shared" si="31"/>
        <v>22.703067000000001</v>
      </c>
      <c r="AS113" s="61">
        <f t="shared" si="31"/>
        <v>21.998949</v>
      </c>
      <c r="AT113" s="61">
        <f t="shared" si="31"/>
        <v>21.867583999999997</v>
      </c>
      <c r="AU113" s="61">
        <f t="shared" si="31"/>
        <v>20.932262999999999</v>
      </c>
      <c r="AV113" s="61">
        <f t="shared" si="31"/>
        <v>20.476163</v>
      </c>
      <c r="AW113" s="61">
        <f t="shared" si="31"/>
        <v>19.684819000000001</v>
      </c>
      <c r="AX113" s="61">
        <f t="shared" si="31"/>
        <v>19.067927999999998</v>
      </c>
      <c r="AY113" s="61">
        <f t="shared" si="31"/>
        <v>18.486768000000001</v>
      </c>
      <c r="AZ113" s="61">
        <f t="shared" si="31"/>
        <v>17.511512</v>
      </c>
      <c r="BA113" s="61">
        <f t="shared" si="31"/>
        <v>16.564632000000003</v>
      </c>
      <c r="BB113" s="61">
        <f t="shared" si="31"/>
        <v>15.751218000000001</v>
      </c>
      <c r="BC113" s="62"/>
    </row>
    <row r="114" spans="1:63" x14ac:dyDescent="0.25">
      <c r="A114" s="56">
        <v>4468</v>
      </c>
      <c r="B114" s="56"/>
      <c r="C114" s="56" t="s">
        <v>225</v>
      </c>
      <c r="D114" s="61">
        <f>D108/1000</f>
        <v>2.6698770000000001</v>
      </c>
      <c r="E114" s="61">
        <f t="shared" si="31"/>
        <v>2.933405</v>
      </c>
      <c r="F114" s="61">
        <f t="shared" si="31"/>
        <v>3.1430069999999999</v>
      </c>
      <c r="G114" s="61">
        <f t="shared" si="31"/>
        <v>3.4167100000000001</v>
      </c>
      <c r="H114" s="61">
        <f t="shared" si="31"/>
        <v>3.7585839999999999</v>
      </c>
      <c r="I114" s="61">
        <f t="shared" si="31"/>
        <v>3.974291</v>
      </c>
      <c r="J114" s="61">
        <f t="shared" si="31"/>
        <v>4.1777870000000004</v>
      </c>
      <c r="K114" s="61">
        <f t="shared" si="31"/>
        <v>4.4311409999999993</v>
      </c>
      <c r="L114" s="61">
        <f t="shared" si="31"/>
        <v>4.732316</v>
      </c>
      <c r="M114" s="61">
        <f t="shared" si="31"/>
        <v>4.9531099999999997</v>
      </c>
      <c r="N114" s="61">
        <f t="shared" si="31"/>
        <v>5.12303</v>
      </c>
      <c r="O114" s="61">
        <f t="shared" si="31"/>
        <v>5.2766700000000002</v>
      </c>
      <c r="P114" s="61">
        <f t="shared" si="31"/>
        <v>5.3458579999999998</v>
      </c>
      <c r="Q114" s="61">
        <f t="shared" si="31"/>
        <v>5.7569219999999994</v>
      </c>
      <c r="R114" s="61">
        <f t="shared" si="31"/>
        <v>5.6144740000000004</v>
      </c>
      <c r="S114" s="61">
        <f t="shared" si="31"/>
        <v>5.5086560000000002</v>
      </c>
      <c r="T114" s="61">
        <f t="shared" si="31"/>
        <v>5.6918030000000002</v>
      </c>
      <c r="U114" s="61">
        <f t="shared" si="31"/>
        <v>5.810848</v>
      </c>
      <c r="V114" s="61">
        <f t="shared" si="31"/>
        <v>5.977716</v>
      </c>
      <c r="W114" s="61">
        <f t="shared" si="31"/>
        <v>6.1628980000000002</v>
      </c>
      <c r="X114" s="61">
        <f t="shared" si="31"/>
        <v>5.9563490000000003</v>
      </c>
      <c r="Y114" s="61">
        <f t="shared" si="31"/>
        <v>5.6460159999999995</v>
      </c>
      <c r="Z114" s="61">
        <f t="shared" si="31"/>
        <v>5.8311980000000005</v>
      </c>
      <c r="AA114" s="61">
        <f t="shared" si="31"/>
        <v>6.2911009999999994</v>
      </c>
      <c r="AB114" s="61">
        <f t="shared" si="31"/>
        <v>6.8731009999999992</v>
      </c>
      <c r="AC114" s="61">
        <f t="shared" si="31"/>
        <v>7.2302379999999999</v>
      </c>
      <c r="AD114" s="61">
        <f t="shared" si="31"/>
        <v>8.0035249999999998</v>
      </c>
      <c r="AE114" s="61">
        <f t="shared" si="31"/>
        <v>8.6170679999999997</v>
      </c>
      <c r="AF114" s="61">
        <f t="shared" si="31"/>
        <v>9.5338209999999997</v>
      </c>
      <c r="AG114" s="61">
        <f t="shared" si="31"/>
        <v>10.294898</v>
      </c>
      <c r="AH114" s="61">
        <f t="shared" si="31"/>
        <v>10.838234</v>
      </c>
      <c r="AI114" s="61">
        <f t="shared" si="31"/>
        <v>10.880968999999999</v>
      </c>
      <c r="AJ114" s="61">
        <f t="shared" si="31"/>
        <v>11.326627</v>
      </c>
      <c r="AK114" s="61">
        <f t="shared" si="31"/>
        <v>12.012409999999999</v>
      </c>
      <c r="AL114" s="61">
        <f t="shared" si="31"/>
        <v>13.140799999999999</v>
      </c>
      <c r="AM114" s="61">
        <f t="shared" si="31"/>
        <v>13.692276</v>
      </c>
      <c r="AN114" s="61">
        <f t="shared" si="31"/>
        <v>14.616151</v>
      </c>
      <c r="AO114" s="61">
        <f t="shared" si="31"/>
        <v>15.237833</v>
      </c>
      <c r="AP114" s="61">
        <f t="shared" si="31"/>
        <v>15.407753000000001</v>
      </c>
      <c r="AQ114" s="61">
        <f t="shared" si="31"/>
        <v>15.779134000000001</v>
      </c>
      <c r="AR114" s="61">
        <f t="shared" si="31"/>
        <v>16.158656000000001</v>
      </c>
      <c r="AS114" s="61">
        <f t="shared" si="31"/>
        <v>16.705044000000001</v>
      </c>
      <c r="AT114" s="61">
        <f t="shared" si="31"/>
        <v>17.221926</v>
      </c>
      <c r="AU114" s="61">
        <f t="shared" si="31"/>
        <v>18.021668000000002</v>
      </c>
      <c r="AV114" s="61">
        <f t="shared" si="31"/>
        <v>18.837689999999998</v>
      </c>
      <c r="AW114" s="61">
        <f t="shared" si="31"/>
        <v>19.77581</v>
      </c>
      <c r="AX114" s="61">
        <f t="shared" si="31"/>
        <v>20.498223000000003</v>
      </c>
      <c r="AY114" s="61">
        <f t="shared" si="31"/>
        <v>21.407852999999999</v>
      </c>
      <c r="AZ114" s="61">
        <f t="shared" si="31"/>
        <v>20.932687999999999</v>
      </c>
      <c r="BA114" s="61">
        <f t="shared" si="31"/>
        <v>20.407667</v>
      </c>
      <c r="BB114" s="61">
        <f t="shared" si="31"/>
        <v>21.237934000000003</v>
      </c>
      <c r="BC114" s="62"/>
    </row>
    <row r="115" spans="1:63" x14ac:dyDescent="0.25">
      <c r="C115" s="60" t="s">
        <v>226</v>
      </c>
      <c r="D115" s="63">
        <f>SUM(D113:D114)</f>
        <v>10.811368999999999</v>
      </c>
      <c r="E115" s="63">
        <f t="shared" ref="E115:BB115" si="32">SUM(E113:E114)</f>
        <v>11.627682</v>
      </c>
      <c r="F115" s="63">
        <f t="shared" si="32"/>
        <v>12.289180999999999</v>
      </c>
      <c r="G115" s="63">
        <f t="shared" si="32"/>
        <v>13.073632</v>
      </c>
      <c r="H115" s="63">
        <f t="shared" si="32"/>
        <v>14.448561999999999</v>
      </c>
      <c r="I115" s="63">
        <f t="shared" si="32"/>
        <v>15.440899999999999</v>
      </c>
      <c r="J115" s="63">
        <f t="shared" si="32"/>
        <v>16.267593000000002</v>
      </c>
      <c r="K115" s="63">
        <f t="shared" si="32"/>
        <v>17.334360999999998</v>
      </c>
      <c r="L115" s="63">
        <f t="shared" si="32"/>
        <v>18.407963000000002</v>
      </c>
      <c r="M115" s="63">
        <f t="shared" si="32"/>
        <v>19.081704999999999</v>
      </c>
      <c r="N115" s="63">
        <f t="shared" si="32"/>
        <v>20.082903999999999</v>
      </c>
      <c r="O115" s="63">
        <f t="shared" si="32"/>
        <v>21.002665999999998</v>
      </c>
      <c r="P115" s="63">
        <f t="shared" si="32"/>
        <v>22.054466000000001</v>
      </c>
      <c r="Q115" s="63">
        <f t="shared" si="32"/>
        <v>23.545877999999998</v>
      </c>
      <c r="R115" s="63">
        <f t="shared" si="32"/>
        <v>22.937871000000001</v>
      </c>
      <c r="S115" s="63">
        <f t="shared" si="32"/>
        <v>22.454772000000006</v>
      </c>
      <c r="T115" s="63">
        <f t="shared" si="32"/>
        <v>23.430315</v>
      </c>
      <c r="U115" s="63">
        <f t="shared" si="32"/>
        <v>24.029630999999998</v>
      </c>
      <c r="V115" s="63">
        <f t="shared" si="32"/>
        <v>25.260031999999999</v>
      </c>
      <c r="W115" s="63">
        <f t="shared" si="32"/>
        <v>25.799374999999998</v>
      </c>
      <c r="X115" s="63">
        <f t="shared" si="32"/>
        <v>26.076250000000002</v>
      </c>
      <c r="Y115" s="63">
        <f t="shared" si="32"/>
        <v>25.317173</v>
      </c>
      <c r="Z115" s="63">
        <f t="shared" si="32"/>
        <v>26.058293000000003</v>
      </c>
      <c r="AA115" s="63">
        <f t="shared" si="32"/>
        <v>26.853439999999999</v>
      </c>
      <c r="AB115" s="63">
        <f t="shared" si="32"/>
        <v>28.129047999999997</v>
      </c>
      <c r="AC115" s="63">
        <f t="shared" si="32"/>
        <v>28.672197999999998</v>
      </c>
      <c r="AD115" s="63">
        <f t="shared" si="32"/>
        <v>30.566819000000002</v>
      </c>
      <c r="AE115" s="63">
        <f t="shared" si="32"/>
        <v>31.930719999999997</v>
      </c>
      <c r="AF115" s="63">
        <f t="shared" si="32"/>
        <v>33.966704999999997</v>
      </c>
      <c r="AG115" s="63">
        <f t="shared" si="32"/>
        <v>35.437155000000004</v>
      </c>
      <c r="AH115" s="63">
        <f t="shared" si="32"/>
        <v>36.388248000000004</v>
      </c>
      <c r="AI115" s="63">
        <f t="shared" si="32"/>
        <v>36.125164999999996</v>
      </c>
      <c r="AJ115" s="63">
        <f t="shared" si="32"/>
        <v>36.594994</v>
      </c>
      <c r="AK115" s="63">
        <f t="shared" si="32"/>
        <v>36.988620999999995</v>
      </c>
      <c r="AL115" s="63">
        <f t="shared" si="32"/>
        <v>37.147009999999995</v>
      </c>
      <c r="AM115" s="63">
        <f t="shared" si="32"/>
        <v>36.763165000000001</v>
      </c>
      <c r="AN115" s="63">
        <f t="shared" si="32"/>
        <v>38.166260999999999</v>
      </c>
      <c r="AO115" s="63">
        <f t="shared" si="32"/>
        <v>38.622948000000001</v>
      </c>
      <c r="AP115" s="63">
        <f t="shared" si="32"/>
        <v>38.368296000000001</v>
      </c>
      <c r="AQ115" s="63">
        <f t="shared" si="32"/>
        <v>39.526817000000001</v>
      </c>
      <c r="AR115" s="63">
        <f t="shared" si="32"/>
        <v>38.861722999999998</v>
      </c>
      <c r="AS115" s="63">
        <f t="shared" si="32"/>
        <v>38.703992999999997</v>
      </c>
      <c r="AT115" s="63">
        <f t="shared" si="32"/>
        <v>39.089509999999997</v>
      </c>
      <c r="AU115" s="63">
        <f t="shared" si="32"/>
        <v>38.953930999999997</v>
      </c>
      <c r="AV115" s="63">
        <f t="shared" si="32"/>
        <v>39.313852999999995</v>
      </c>
      <c r="AW115" s="63">
        <f t="shared" si="32"/>
        <v>39.460628999999997</v>
      </c>
      <c r="AX115" s="63">
        <f t="shared" si="32"/>
        <v>39.566151000000005</v>
      </c>
      <c r="AY115" s="63">
        <f t="shared" si="32"/>
        <v>39.894621000000001</v>
      </c>
      <c r="AZ115" s="63">
        <f t="shared" si="32"/>
        <v>38.444199999999995</v>
      </c>
      <c r="BA115" s="63">
        <f t="shared" si="32"/>
        <v>36.972299000000007</v>
      </c>
      <c r="BB115" s="63">
        <f t="shared" si="32"/>
        <v>36.989152000000004</v>
      </c>
      <c r="BC115" s="64"/>
    </row>
    <row r="118" spans="1:63" x14ac:dyDescent="0.25">
      <c r="A118" s="14" t="s">
        <v>227</v>
      </c>
    </row>
    <row r="119" spans="1:63" s="19" customFormat="1" x14ac:dyDescent="0.25">
      <c r="A119" s="6" t="s">
        <v>228</v>
      </c>
      <c r="D119" s="19">
        <v>1960</v>
      </c>
      <c r="E119" s="19">
        <v>1961</v>
      </c>
      <c r="F119" s="19">
        <v>1962</v>
      </c>
      <c r="G119" s="19">
        <v>1963</v>
      </c>
      <c r="H119" s="19">
        <v>1964</v>
      </c>
      <c r="I119" s="19">
        <v>1965</v>
      </c>
      <c r="J119" s="19">
        <v>1966</v>
      </c>
      <c r="K119" s="19">
        <v>1967</v>
      </c>
      <c r="L119" s="19">
        <v>1968</v>
      </c>
      <c r="M119" s="19">
        <v>1969</v>
      </c>
      <c r="N119" s="19">
        <v>1970</v>
      </c>
      <c r="O119" s="19">
        <v>1971</v>
      </c>
      <c r="P119" s="19">
        <v>1972</v>
      </c>
      <c r="Q119" s="19">
        <v>1973</v>
      </c>
      <c r="R119" s="19">
        <v>1974</v>
      </c>
      <c r="S119" s="19">
        <v>1975</v>
      </c>
      <c r="T119" s="19">
        <v>1976</v>
      </c>
      <c r="U119" s="19">
        <v>1977</v>
      </c>
      <c r="V119" s="19">
        <v>1978</v>
      </c>
      <c r="W119" s="19">
        <v>1979</v>
      </c>
      <c r="X119" s="19">
        <v>1980</v>
      </c>
      <c r="Y119" s="19">
        <v>1981</v>
      </c>
      <c r="Z119" s="19">
        <v>1982</v>
      </c>
      <c r="AA119" s="19">
        <v>1983</v>
      </c>
      <c r="AB119" s="19">
        <v>1984</v>
      </c>
      <c r="AC119" s="19">
        <v>1985</v>
      </c>
      <c r="AD119" s="19">
        <v>1986</v>
      </c>
      <c r="AE119" s="19">
        <v>1987</v>
      </c>
      <c r="AF119" s="19">
        <v>1988</v>
      </c>
      <c r="AG119" s="19">
        <v>1989</v>
      </c>
      <c r="AH119" s="19">
        <v>1990</v>
      </c>
      <c r="AI119" s="19">
        <v>1991</v>
      </c>
      <c r="AJ119" s="19">
        <v>1992</v>
      </c>
      <c r="AK119" s="19">
        <v>1993</v>
      </c>
      <c r="AL119" s="19">
        <v>1994</v>
      </c>
      <c r="AM119" s="19">
        <v>1995</v>
      </c>
      <c r="AN119" s="19">
        <v>1996</v>
      </c>
      <c r="AO119" s="19">
        <v>1997</v>
      </c>
      <c r="AP119" s="19">
        <v>1998</v>
      </c>
      <c r="AQ119" s="19">
        <v>1999</v>
      </c>
      <c r="AR119" s="19">
        <v>2000</v>
      </c>
      <c r="AS119" s="19">
        <v>2001</v>
      </c>
      <c r="AT119" s="19">
        <v>2002</v>
      </c>
      <c r="AU119" s="19">
        <v>2003</v>
      </c>
      <c r="AV119" s="19">
        <v>2004</v>
      </c>
      <c r="AW119" s="19">
        <v>2005</v>
      </c>
      <c r="AX119" s="19">
        <v>2006</v>
      </c>
      <c r="AY119" s="19">
        <v>2007</v>
      </c>
      <c r="AZ119" s="19">
        <v>2008</v>
      </c>
      <c r="BA119" s="19">
        <v>2009</v>
      </c>
      <c r="BB119" s="19">
        <v>2010</v>
      </c>
      <c r="BC119" s="19">
        <v>2011</v>
      </c>
      <c r="BD119" s="19">
        <v>2012</v>
      </c>
      <c r="BE119" s="19">
        <v>2013</v>
      </c>
      <c r="BF119" s="19">
        <v>2014</v>
      </c>
      <c r="BG119" s="19">
        <v>2015</v>
      </c>
      <c r="BH119" s="19">
        <v>2016</v>
      </c>
      <c r="BI119" s="19">
        <v>2017</v>
      </c>
      <c r="BJ119" s="19">
        <v>2018</v>
      </c>
      <c r="BK119" s="33">
        <v>2019</v>
      </c>
    </row>
    <row r="120" spans="1:63" x14ac:dyDescent="0.25">
      <c r="C120" s="65" t="s">
        <v>229</v>
      </c>
      <c r="D120" s="66">
        <v>42.3</v>
      </c>
      <c r="E120" s="66">
        <v>47.8</v>
      </c>
      <c r="F120" s="66">
        <v>52</v>
      </c>
      <c r="G120" s="66">
        <v>56.8</v>
      </c>
      <c r="H120" s="66">
        <v>65.7</v>
      </c>
      <c r="I120" s="66">
        <v>72</v>
      </c>
      <c r="J120" s="66">
        <v>78.599999999999994</v>
      </c>
      <c r="K120" s="66">
        <v>83.9</v>
      </c>
      <c r="L120" s="66">
        <v>88.7</v>
      </c>
      <c r="M120" s="66">
        <v>91.9</v>
      </c>
      <c r="N120" s="66">
        <v>96.3</v>
      </c>
      <c r="O120" s="66">
        <v>102.6</v>
      </c>
      <c r="P120" s="66">
        <v>108.6</v>
      </c>
      <c r="Q120" s="66">
        <v>114.3</v>
      </c>
      <c r="R120" s="66">
        <v>111.8</v>
      </c>
      <c r="S120" s="66">
        <v>112.8</v>
      </c>
      <c r="T120" s="66">
        <v>118.3</v>
      </c>
      <c r="U120" s="66">
        <v>120.6</v>
      </c>
      <c r="V120" s="66">
        <v>125.8</v>
      </c>
      <c r="W120" s="66">
        <v>125.2</v>
      </c>
      <c r="X120" s="66">
        <v>133.6</v>
      </c>
      <c r="Y120" s="66">
        <v>136.4</v>
      </c>
      <c r="Z120" s="66">
        <v>141.19999999999999</v>
      </c>
      <c r="AA120" s="66">
        <v>143.69999999999999</v>
      </c>
      <c r="AB120" s="66">
        <v>151.6</v>
      </c>
      <c r="AC120" s="66">
        <v>155.69999999999999</v>
      </c>
      <c r="AD120" s="66">
        <v>164.3</v>
      </c>
      <c r="AE120" s="66">
        <v>176.8</v>
      </c>
      <c r="AF120" s="66">
        <v>189.8</v>
      </c>
      <c r="AG120" s="66">
        <v>205.9</v>
      </c>
      <c r="AH120" s="66">
        <v>208.7</v>
      </c>
      <c r="AI120" s="66">
        <v>208.3</v>
      </c>
      <c r="AJ120" s="67">
        <v>210</v>
      </c>
      <c r="AK120" s="66">
        <v>210.1</v>
      </c>
      <c r="AL120" s="66">
        <v>214.4</v>
      </c>
      <c r="AM120" s="66">
        <v>218.2</v>
      </c>
      <c r="AN120" s="66">
        <v>223.6</v>
      </c>
      <c r="AO120" s="66">
        <v>227.3</v>
      </c>
      <c r="AP120" s="66">
        <v>230.3</v>
      </c>
      <c r="AQ120" s="66">
        <v>234.5</v>
      </c>
      <c r="AR120" s="66">
        <v>233.7</v>
      </c>
      <c r="AS120" s="66">
        <v>236.9</v>
      </c>
      <c r="AT120" s="66">
        <v>242.7</v>
      </c>
      <c r="AU120" s="66">
        <v>242.3</v>
      </c>
      <c r="AV120" s="66">
        <v>245</v>
      </c>
      <c r="AW120" s="66">
        <v>244</v>
      </c>
      <c r="AX120" s="66">
        <v>246.9</v>
      </c>
      <c r="AY120" s="66">
        <v>247.3</v>
      </c>
      <c r="AZ120" s="66">
        <v>245.4</v>
      </c>
      <c r="BA120" s="66">
        <v>244.8</v>
      </c>
      <c r="BB120" s="66">
        <v>241.9</v>
      </c>
      <c r="BC120" s="68">
        <v>244.3</v>
      </c>
      <c r="BD120" s="6">
        <v>245.5</v>
      </c>
      <c r="BE120" s="6">
        <v>246.6</v>
      </c>
      <c r="BF120" s="6">
        <v>253.5</v>
      </c>
      <c r="BG120" s="6">
        <v>258.10000000000002</v>
      </c>
      <c r="BH120" s="6">
        <v>263.89999999999998</v>
      </c>
      <c r="BI120" s="6">
        <v>269</v>
      </c>
      <c r="BJ120" s="6">
        <v>272.3</v>
      </c>
    </row>
    <row r="121" spans="1:63" x14ac:dyDescent="0.25">
      <c r="C121" s="65" t="s">
        <v>230</v>
      </c>
      <c r="D121" s="66">
        <v>9.3000000000000007</v>
      </c>
      <c r="E121" s="66">
        <v>10.199999999999999</v>
      </c>
      <c r="F121" s="66">
        <v>10.3</v>
      </c>
      <c r="G121" s="66">
        <v>10.9</v>
      </c>
      <c r="H121" s="66">
        <v>11</v>
      </c>
      <c r="I121" s="66">
        <v>11.8</v>
      </c>
      <c r="J121" s="66">
        <v>11.8</v>
      </c>
      <c r="K121" s="66">
        <v>11.6</v>
      </c>
      <c r="L121" s="66">
        <v>11.7</v>
      </c>
      <c r="M121" s="66">
        <v>12</v>
      </c>
      <c r="N121" s="66">
        <v>12.6</v>
      </c>
      <c r="O121" s="66">
        <v>13.2</v>
      </c>
      <c r="P121" s="66">
        <v>13.8</v>
      </c>
      <c r="Q121" s="66">
        <v>14.5</v>
      </c>
      <c r="R121" s="66">
        <v>14.7</v>
      </c>
      <c r="S121" s="66">
        <v>14.6</v>
      </c>
      <c r="T121" s="66">
        <v>15</v>
      </c>
      <c r="U121" s="66">
        <v>15.2</v>
      </c>
      <c r="V121" s="66">
        <v>15.7</v>
      </c>
      <c r="W121" s="66">
        <v>15.6</v>
      </c>
      <c r="X121" s="66">
        <v>16.2</v>
      </c>
      <c r="Y121" s="66">
        <v>16.3</v>
      </c>
      <c r="Z121" s="66">
        <v>16.2</v>
      </c>
      <c r="AA121" s="66">
        <v>16.2</v>
      </c>
      <c r="AB121" s="66">
        <v>17.100000000000001</v>
      </c>
      <c r="AC121" s="66">
        <v>17.8</v>
      </c>
      <c r="AD121" s="66">
        <v>18.600000000000001</v>
      </c>
      <c r="AE121" s="66">
        <v>20.3</v>
      </c>
      <c r="AF121" s="66">
        <v>22.5</v>
      </c>
      <c r="AG121" s="66">
        <v>24.7</v>
      </c>
      <c r="AH121" s="66">
        <v>24.8</v>
      </c>
      <c r="AI121" s="66">
        <v>25.9</v>
      </c>
      <c r="AJ121" s="67">
        <v>25.6</v>
      </c>
      <c r="AK121" s="66">
        <v>25.8</v>
      </c>
      <c r="AL121" s="66">
        <v>26.9</v>
      </c>
      <c r="AM121" s="66">
        <v>27.7</v>
      </c>
      <c r="AN121" s="66">
        <v>28.7</v>
      </c>
      <c r="AO121" s="66">
        <v>30.2</v>
      </c>
      <c r="AP121" s="66">
        <v>31.6</v>
      </c>
      <c r="AQ121" s="66">
        <v>32.1</v>
      </c>
      <c r="AR121" s="66">
        <v>32.4</v>
      </c>
      <c r="AS121" s="66">
        <v>33.200000000000003</v>
      </c>
      <c r="AT121" s="66">
        <v>34</v>
      </c>
      <c r="AU121" s="66">
        <v>35.700000000000003</v>
      </c>
      <c r="AV121" s="66">
        <v>37.4</v>
      </c>
      <c r="AW121" s="66">
        <v>38.4</v>
      </c>
      <c r="AX121" s="66">
        <v>39.9</v>
      </c>
      <c r="AY121" s="66">
        <v>41.9</v>
      </c>
      <c r="AZ121" s="66">
        <v>41.6</v>
      </c>
      <c r="BA121" s="66">
        <v>40.700000000000003</v>
      </c>
      <c r="BB121" s="66">
        <v>41.4</v>
      </c>
      <c r="BC121" s="68">
        <v>42</v>
      </c>
      <c r="BD121" s="6">
        <v>42.2</v>
      </c>
      <c r="BE121" s="6">
        <v>43.8</v>
      </c>
      <c r="BF121" s="6">
        <v>46.6</v>
      </c>
      <c r="BG121" s="6">
        <v>48.9</v>
      </c>
      <c r="BH121" s="6">
        <v>51.7</v>
      </c>
      <c r="BI121" s="6">
        <v>53.4</v>
      </c>
      <c r="BJ121" s="6">
        <v>54.4</v>
      </c>
    </row>
    <row r="122" spans="1:63" x14ac:dyDescent="0.25">
      <c r="C122" s="69" t="s">
        <v>231</v>
      </c>
      <c r="D122" s="66">
        <v>9.5</v>
      </c>
      <c r="E122" s="66">
        <v>9.6</v>
      </c>
      <c r="F122" s="66">
        <v>9.6</v>
      </c>
      <c r="G122" s="66">
        <v>9.8000000000000007</v>
      </c>
      <c r="H122" s="66">
        <v>10.8</v>
      </c>
      <c r="I122" s="66">
        <v>10.7</v>
      </c>
      <c r="J122" s="66">
        <v>10.9</v>
      </c>
      <c r="K122" s="66">
        <v>10.7</v>
      </c>
      <c r="L122" s="66">
        <v>10.9</v>
      </c>
      <c r="M122" s="66">
        <v>10.8</v>
      </c>
      <c r="N122" s="66">
        <v>10.9</v>
      </c>
      <c r="O122" s="66">
        <v>11.2</v>
      </c>
      <c r="P122" s="66">
        <v>11.4</v>
      </c>
      <c r="Q122" s="66">
        <v>12</v>
      </c>
      <c r="R122" s="66">
        <v>11.6</v>
      </c>
      <c r="S122" s="66">
        <v>11.4</v>
      </c>
      <c r="T122" s="66">
        <v>11.9</v>
      </c>
      <c r="U122" s="66">
        <v>11.7</v>
      </c>
      <c r="V122" s="66">
        <v>12.1</v>
      </c>
      <c r="W122" s="66">
        <v>12.2</v>
      </c>
      <c r="X122" s="66">
        <v>12.2</v>
      </c>
      <c r="Y122" s="66">
        <v>11.7</v>
      </c>
      <c r="Z122" s="66">
        <v>11.4</v>
      </c>
      <c r="AA122" s="66">
        <v>11.7</v>
      </c>
      <c r="AB122" s="66">
        <v>12.2</v>
      </c>
      <c r="AC122" s="66">
        <v>12.2</v>
      </c>
      <c r="AD122" s="66">
        <v>12.5</v>
      </c>
      <c r="AE122" s="66">
        <v>13.9</v>
      </c>
      <c r="AF122" s="66">
        <v>14.8</v>
      </c>
      <c r="AG122" s="66">
        <v>15.8</v>
      </c>
      <c r="AH122" s="66">
        <v>15.5</v>
      </c>
      <c r="AI122" s="66">
        <v>15.2</v>
      </c>
      <c r="AJ122" s="67">
        <v>14.8</v>
      </c>
      <c r="AK122" s="66">
        <v>15.1</v>
      </c>
      <c r="AL122" s="66">
        <v>15.4</v>
      </c>
      <c r="AM122" s="66">
        <v>15.8</v>
      </c>
      <c r="AN122" s="66">
        <v>16.3</v>
      </c>
      <c r="AO122" s="66">
        <v>16.7</v>
      </c>
      <c r="AP122" s="66">
        <v>17.2</v>
      </c>
      <c r="AQ122" s="66">
        <v>17.5</v>
      </c>
      <c r="AR122" s="66">
        <v>17.5</v>
      </c>
      <c r="AS122" s="66">
        <v>17.399999999999999</v>
      </c>
      <c r="AT122" s="66">
        <v>17.600000000000001</v>
      </c>
      <c r="AU122" s="66">
        <v>17.7</v>
      </c>
      <c r="AV122" s="66">
        <v>18.2</v>
      </c>
      <c r="AW122" s="66">
        <v>18</v>
      </c>
      <c r="AX122" s="66">
        <v>18</v>
      </c>
      <c r="AY122" s="66">
        <v>18.2</v>
      </c>
      <c r="AZ122" s="66">
        <v>17.8</v>
      </c>
      <c r="BA122" s="66">
        <v>16.3</v>
      </c>
      <c r="BB122" s="66">
        <v>16.399999999999999</v>
      </c>
      <c r="BC122" s="68">
        <v>16</v>
      </c>
      <c r="BD122" s="6">
        <v>15.6</v>
      </c>
      <c r="BE122" s="6">
        <v>15.8</v>
      </c>
      <c r="BF122" s="6">
        <v>16.2</v>
      </c>
      <c r="BG122" s="6">
        <v>16.8</v>
      </c>
      <c r="BH122" s="6">
        <v>17</v>
      </c>
      <c r="BI122" s="6">
        <v>17.2</v>
      </c>
      <c r="BJ122" s="6">
        <v>17.3</v>
      </c>
    </row>
    <row r="123" spans="1:63" x14ac:dyDescent="0.25">
      <c r="C123" s="70" t="s">
        <v>232</v>
      </c>
      <c r="D123" s="66">
        <v>6.2</v>
      </c>
      <c r="E123" s="66">
        <v>6</v>
      </c>
      <c r="F123" s="66">
        <v>5.4</v>
      </c>
      <c r="G123" s="66">
        <v>4.7</v>
      </c>
      <c r="H123" s="66">
        <v>4.7</v>
      </c>
      <c r="I123" s="66">
        <v>4.2</v>
      </c>
      <c r="J123" s="66">
        <v>3.7</v>
      </c>
      <c r="K123" s="66">
        <v>3.2</v>
      </c>
      <c r="L123" s="66">
        <v>2.9</v>
      </c>
      <c r="M123" s="66">
        <v>2.6</v>
      </c>
      <c r="N123" s="66">
        <v>2.5</v>
      </c>
      <c r="O123" s="66">
        <v>2.4</v>
      </c>
      <c r="P123" s="66">
        <v>2.2999999999999998</v>
      </c>
      <c r="Q123" s="66">
        <v>2.4</v>
      </c>
      <c r="R123" s="66">
        <v>2.6</v>
      </c>
      <c r="S123" s="66">
        <v>3.2</v>
      </c>
      <c r="T123" s="66">
        <v>3.9</v>
      </c>
      <c r="U123" s="66">
        <v>3.9</v>
      </c>
      <c r="V123" s="66">
        <v>3.8</v>
      </c>
      <c r="W123" s="66">
        <v>4</v>
      </c>
      <c r="X123" s="66">
        <v>4.8</v>
      </c>
      <c r="Y123" s="66">
        <v>5.5</v>
      </c>
      <c r="Z123" s="66">
        <v>5.7</v>
      </c>
      <c r="AA123" s="66">
        <v>5.2</v>
      </c>
      <c r="AB123" s="66">
        <v>5</v>
      </c>
      <c r="AC123" s="66">
        <v>4.5999999999999996</v>
      </c>
      <c r="AD123" s="66">
        <v>4.4000000000000004</v>
      </c>
      <c r="AE123" s="66">
        <v>4.2</v>
      </c>
      <c r="AF123" s="66">
        <v>3.7</v>
      </c>
      <c r="AG123" s="66">
        <v>3.7</v>
      </c>
      <c r="AH123" s="66">
        <v>3.5</v>
      </c>
      <c r="AI123" s="66">
        <v>3.4</v>
      </c>
      <c r="AJ123" s="67">
        <v>2.8</v>
      </c>
      <c r="AK123" s="66">
        <v>2.2999999999999998</v>
      </c>
      <c r="AL123" s="66">
        <v>2.2999999999999998</v>
      </c>
      <c r="AM123" s="66">
        <v>2.2999999999999998</v>
      </c>
      <c r="AN123" s="66">
        <v>2.2999999999999998</v>
      </c>
      <c r="AO123" s="66">
        <v>2.5</v>
      </c>
      <c r="AP123" s="66">
        <v>2.6</v>
      </c>
      <c r="AQ123" s="66">
        <v>2.8</v>
      </c>
      <c r="AR123" s="66">
        <v>2.8</v>
      </c>
      <c r="AS123" s="66">
        <v>3</v>
      </c>
      <c r="AT123" s="66">
        <v>3.1</v>
      </c>
      <c r="AU123" s="66">
        <v>3.4</v>
      </c>
      <c r="AV123" s="66">
        <v>3.2</v>
      </c>
      <c r="AW123" s="66">
        <v>3.3</v>
      </c>
      <c r="AX123" s="66">
        <v>3.2</v>
      </c>
      <c r="AY123" s="66">
        <v>3.4</v>
      </c>
      <c r="AZ123" s="66">
        <v>3.1</v>
      </c>
      <c r="BA123" s="66">
        <v>3.2</v>
      </c>
      <c r="BB123" s="66">
        <v>2.9</v>
      </c>
      <c r="BC123" s="68">
        <v>2.9</v>
      </c>
      <c r="BD123" s="6">
        <v>2.9</v>
      </c>
      <c r="BE123" s="6">
        <v>2.8</v>
      </c>
      <c r="BF123" s="6">
        <v>2.9</v>
      </c>
      <c r="BG123" s="6">
        <v>2.9</v>
      </c>
      <c r="BH123" s="6">
        <v>3</v>
      </c>
      <c r="BI123" s="6">
        <v>3</v>
      </c>
      <c r="BJ123" s="6">
        <v>3</v>
      </c>
    </row>
    <row r="124" spans="1:63" x14ac:dyDescent="0.25">
      <c r="C124" s="70" t="s">
        <v>233</v>
      </c>
      <c r="D124" s="66">
        <v>2.4</v>
      </c>
      <c r="E124" s="66">
        <v>2.5</v>
      </c>
      <c r="F124" s="66">
        <v>2.5</v>
      </c>
      <c r="G124" s="66">
        <v>2.5</v>
      </c>
      <c r="H124" s="66">
        <v>2.5</v>
      </c>
      <c r="I124" s="66">
        <v>2.4</v>
      </c>
      <c r="J124" s="66">
        <v>2.4</v>
      </c>
      <c r="K124" s="66">
        <v>2.4</v>
      </c>
      <c r="L124" s="66">
        <v>2.4</v>
      </c>
      <c r="M124" s="66">
        <v>2.4</v>
      </c>
      <c r="N124" s="66">
        <v>2.2000000000000002</v>
      </c>
      <c r="O124" s="66">
        <v>2.2000000000000002</v>
      </c>
      <c r="P124" s="66">
        <v>2.2000000000000002</v>
      </c>
      <c r="Q124" s="66">
        <v>2.2000000000000002</v>
      </c>
      <c r="R124" s="66">
        <v>2.1</v>
      </c>
      <c r="S124" s="66">
        <v>2</v>
      </c>
      <c r="T124" s="66">
        <v>2.1</v>
      </c>
      <c r="U124" s="66">
        <v>2</v>
      </c>
      <c r="V124" s="66">
        <v>2.1</v>
      </c>
      <c r="W124" s="66">
        <v>2.1</v>
      </c>
      <c r="X124" s="66">
        <v>2.2000000000000002</v>
      </c>
      <c r="Y124" s="66">
        <v>2.2000000000000002</v>
      </c>
      <c r="Z124" s="66">
        <v>2.2000000000000002</v>
      </c>
      <c r="AA124" s="66">
        <v>2.2999999999999998</v>
      </c>
      <c r="AB124" s="66">
        <v>2.4</v>
      </c>
      <c r="AC124" s="66">
        <v>2.2999999999999998</v>
      </c>
      <c r="AD124" s="66">
        <v>2.2999999999999998</v>
      </c>
      <c r="AE124" s="66">
        <v>2.5</v>
      </c>
      <c r="AF124" s="66">
        <v>2.7</v>
      </c>
      <c r="AG124" s="66">
        <v>2.8</v>
      </c>
      <c r="AH124" s="66">
        <v>2.9</v>
      </c>
      <c r="AI124" s="66">
        <v>3</v>
      </c>
      <c r="AJ124" s="67">
        <v>2.9</v>
      </c>
      <c r="AK124" s="66">
        <v>2.9</v>
      </c>
      <c r="AL124" s="66">
        <v>2.9</v>
      </c>
      <c r="AM124" s="66">
        <v>3</v>
      </c>
      <c r="AN124" s="66">
        <v>3.1</v>
      </c>
      <c r="AO124" s="66">
        <v>3.2</v>
      </c>
      <c r="AP124" s="66">
        <v>3.3</v>
      </c>
      <c r="AQ124" s="66">
        <v>3.3</v>
      </c>
      <c r="AR124" s="66">
        <v>3.2</v>
      </c>
      <c r="AS124" s="66">
        <v>3.2</v>
      </c>
      <c r="AT124" s="66">
        <v>3.2</v>
      </c>
      <c r="AU124" s="66">
        <v>3.3</v>
      </c>
      <c r="AV124" s="66">
        <v>3.2</v>
      </c>
      <c r="AW124" s="66">
        <v>3.2</v>
      </c>
      <c r="AX124" s="66">
        <v>3.3</v>
      </c>
      <c r="AY124" s="66">
        <v>3.4</v>
      </c>
      <c r="AZ124" s="66">
        <v>3.1</v>
      </c>
      <c r="BA124" s="66">
        <v>3.1</v>
      </c>
      <c r="BB124" s="66">
        <v>3.2</v>
      </c>
      <c r="BC124" s="68">
        <v>3</v>
      </c>
      <c r="BD124" s="6">
        <v>2.8</v>
      </c>
      <c r="BE124" s="6">
        <v>2.9</v>
      </c>
      <c r="BF124" s="6">
        <v>2.9</v>
      </c>
      <c r="BG124" s="6">
        <v>2.8</v>
      </c>
      <c r="BH124" s="6">
        <v>2.6</v>
      </c>
      <c r="BI124" s="6">
        <v>2.6</v>
      </c>
      <c r="BJ124" s="6">
        <v>2.5</v>
      </c>
    </row>
    <row r="125" spans="1:63" s="19" customFormat="1" x14ac:dyDescent="0.25">
      <c r="C125" s="71" t="s">
        <v>222</v>
      </c>
      <c r="D125" s="72">
        <f>SUM(D120:D124)</f>
        <v>69.7</v>
      </c>
      <c r="E125" s="72">
        <f t="shared" ref="E125:BJ125" si="33">SUM(E120:E124)</f>
        <v>76.099999999999994</v>
      </c>
      <c r="F125" s="72">
        <f t="shared" si="33"/>
        <v>79.8</v>
      </c>
      <c r="G125" s="72">
        <f t="shared" si="33"/>
        <v>84.7</v>
      </c>
      <c r="H125" s="72">
        <f t="shared" si="33"/>
        <v>94.7</v>
      </c>
      <c r="I125" s="72">
        <f t="shared" si="33"/>
        <v>101.10000000000001</v>
      </c>
      <c r="J125" s="72">
        <f t="shared" si="33"/>
        <v>107.4</v>
      </c>
      <c r="K125" s="72">
        <f t="shared" si="33"/>
        <v>111.80000000000001</v>
      </c>
      <c r="L125" s="72">
        <f t="shared" si="33"/>
        <v>116.60000000000002</v>
      </c>
      <c r="M125" s="72">
        <f t="shared" si="33"/>
        <v>119.7</v>
      </c>
      <c r="N125" s="72">
        <f t="shared" si="33"/>
        <v>124.5</v>
      </c>
      <c r="O125" s="72">
        <f t="shared" si="33"/>
        <v>131.6</v>
      </c>
      <c r="P125" s="72">
        <f t="shared" si="33"/>
        <v>138.29999999999998</v>
      </c>
      <c r="Q125" s="72">
        <f t="shared" si="33"/>
        <v>145.4</v>
      </c>
      <c r="R125" s="72">
        <f t="shared" si="33"/>
        <v>142.79999999999998</v>
      </c>
      <c r="S125" s="72">
        <f t="shared" si="33"/>
        <v>143.99999999999997</v>
      </c>
      <c r="T125" s="72">
        <f t="shared" si="33"/>
        <v>151.20000000000002</v>
      </c>
      <c r="U125" s="72">
        <f t="shared" si="33"/>
        <v>153.39999999999998</v>
      </c>
      <c r="V125" s="72">
        <f t="shared" si="33"/>
        <v>159.5</v>
      </c>
      <c r="W125" s="72">
        <f t="shared" si="33"/>
        <v>159.1</v>
      </c>
      <c r="X125" s="72">
        <f t="shared" si="33"/>
        <v>168.99999999999997</v>
      </c>
      <c r="Y125" s="72">
        <f t="shared" si="33"/>
        <v>172.1</v>
      </c>
      <c r="Z125" s="72">
        <f t="shared" si="33"/>
        <v>176.69999999999996</v>
      </c>
      <c r="AA125" s="72">
        <f t="shared" si="33"/>
        <v>179.09999999999997</v>
      </c>
      <c r="AB125" s="72">
        <f t="shared" si="33"/>
        <v>188.29999999999998</v>
      </c>
      <c r="AC125" s="72">
        <f t="shared" si="33"/>
        <v>192.6</v>
      </c>
      <c r="AD125" s="72">
        <f t="shared" si="33"/>
        <v>202.10000000000002</v>
      </c>
      <c r="AE125" s="72">
        <f t="shared" si="33"/>
        <v>217.70000000000002</v>
      </c>
      <c r="AF125" s="72">
        <f t="shared" si="33"/>
        <v>233.5</v>
      </c>
      <c r="AG125" s="72">
        <f t="shared" si="33"/>
        <v>252.9</v>
      </c>
      <c r="AH125" s="72">
        <f t="shared" si="33"/>
        <v>255.4</v>
      </c>
      <c r="AI125" s="72">
        <f t="shared" si="33"/>
        <v>255.8</v>
      </c>
      <c r="AJ125" s="72">
        <f t="shared" si="33"/>
        <v>256.10000000000002</v>
      </c>
      <c r="AK125" s="72">
        <f t="shared" si="33"/>
        <v>256.2</v>
      </c>
      <c r="AL125" s="72">
        <f t="shared" si="33"/>
        <v>261.89999999999998</v>
      </c>
      <c r="AM125" s="72">
        <f t="shared" si="33"/>
        <v>267</v>
      </c>
      <c r="AN125" s="72">
        <f t="shared" si="33"/>
        <v>274</v>
      </c>
      <c r="AO125" s="72">
        <f t="shared" si="33"/>
        <v>279.89999999999998</v>
      </c>
      <c r="AP125" s="72">
        <f t="shared" si="33"/>
        <v>285.00000000000006</v>
      </c>
      <c r="AQ125" s="72">
        <f t="shared" si="33"/>
        <v>290.20000000000005</v>
      </c>
      <c r="AR125" s="72">
        <f t="shared" si="33"/>
        <v>289.59999999999997</v>
      </c>
      <c r="AS125" s="72">
        <f t="shared" si="33"/>
        <v>293.7</v>
      </c>
      <c r="AT125" s="72">
        <f t="shared" si="33"/>
        <v>300.60000000000002</v>
      </c>
      <c r="AU125" s="72">
        <f t="shared" si="33"/>
        <v>302.39999999999998</v>
      </c>
      <c r="AV125" s="72">
        <f t="shared" si="33"/>
        <v>306.99999999999994</v>
      </c>
      <c r="AW125" s="72">
        <f t="shared" si="33"/>
        <v>306.89999999999998</v>
      </c>
      <c r="AX125" s="72">
        <f t="shared" si="33"/>
        <v>311.3</v>
      </c>
      <c r="AY125" s="72">
        <f t="shared" si="33"/>
        <v>314.19999999999993</v>
      </c>
      <c r="AZ125" s="72">
        <f t="shared" si="33"/>
        <v>311.00000000000006</v>
      </c>
      <c r="BA125" s="72">
        <f t="shared" si="33"/>
        <v>308.10000000000002</v>
      </c>
      <c r="BB125" s="72">
        <f t="shared" si="33"/>
        <v>305.79999999999995</v>
      </c>
      <c r="BC125" s="72">
        <f t="shared" si="33"/>
        <v>308.2</v>
      </c>
      <c r="BD125" s="72">
        <f t="shared" si="33"/>
        <v>309</v>
      </c>
      <c r="BE125" s="72">
        <f t="shared" si="33"/>
        <v>311.89999999999998</v>
      </c>
      <c r="BF125" s="72">
        <f t="shared" si="33"/>
        <v>322.09999999999997</v>
      </c>
      <c r="BG125" s="72">
        <f t="shared" si="33"/>
        <v>329.5</v>
      </c>
      <c r="BH125" s="72">
        <f t="shared" si="33"/>
        <v>338.2</v>
      </c>
      <c r="BI125" s="72">
        <f t="shared" si="33"/>
        <v>345.2</v>
      </c>
      <c r="BJ125" s="72">
        <f t="shared" si="33"/>
        <v>349.5</v>
      </c>
      <c r="BK125" s="73"/>
    </row>
    <row r="126" spans="1:63" x14ac:dyDescent="0.25">
      <c r="A126" s="6" t="s">
        <v>234</v>
      </c>
    </row>
    <row r="127" spans="1:63" s="19" customFormat="1" x14ac:dyDescent="0.25">
      <c r="A127" s="6" t="s">
        <v>235</v>
      </c>
      <c r="D127" s="19">
        <v>1960</v>
      </c>
      <c r="E127" s="19">
        <v>1961</v>
      </c>
      <c r="F127" s="19">
        <v>1962</v>
      </c>
      <c r="G127" s="19">
        <v>1963</v>
      </c>
      <c r="H127" s="19">
        <v>1964</v>
      </c>
      <c r="I127" s="19">
        <v>1965</v>
      </c>
      <c r="J127" s="19">
        <v>1966</v>
      </c>
      <c r="K127" s="19">
        <v>1967</v>
      </c>
      <c r="L127" s="19">
        <v>1968</v>
      </c>
      <c r="M127" s="19">
        <v>1969</v>
      </c>
      <c r="N127" s="19">
        <v>1970</v>
      </c>
      <c r="O127" s="19">
        <v>1971</v>
      </c>
      <c r="P127" s="19">
        <v>1972</v>
      </c>
      <c r="Q127" s="19">
        <v>1973</v>
      </c>
      <c r="R127" s="19">
        <v>1974</v>
      </c>
      <c r="S127" s="19">
        <v>1975</v>
      </c>
      <c r="T127" s="19">
        <v>1976</v>
      </c>
      <c r="U127" s="19">
        <v>1977</v>
      </c>
      <c r="V127" s="19">
        <v>1978</v>
      </c>
      <c r="W127" s="19">
        <v>1979</v>
      </c>
      <c r="X127" s="19">
        <v>1980</v>
      </c>
      <c r="Y127" s="19">
        <v>1981</v>
      </c>
      <c r="Z127" s="19">
        <v>1982</v>
      </c>
      <c r="AA127" s="19">
        <v>1983</v>
      </c>
      <c r="AB127" s="19">
        <v>1984</v>
      </c>
      <c r="AC127" s="19">
        <v>1985</v>
      </c>
      <c r="AD127" s="19">
        <v>1986</v>
      </c>
      <c r="AE127" s="19">
        <v>1987</v>
      </c>
      <c r="AF127" s="19">
        <v>1988</v>
      </c>
      <c r="AG127" s="19">
        <v>1989</v>
      </c>
      <c r="AH127" s="19">
        <v>1990</v>
      </c>
      <c r="AI127" s="19">
        <v>1991</v>
      </c>
      <c r="AJ127" s="19">
        <v>1992</v>
      </c>
      <c r="AK127" s="19">
        <v>1993</v>
      </c>
      <c r="AL127" s="19">
        <v>1994</v>
      </c>
      <c r="AM127" s="19">
        <v>1995</v>
      </c>
      <c r="AN127" s="19">
        <v>1996</v>
      </c>
      <c r="AO127" s="19">
        <v>1997</v>
      </c>
      <c r="AP127" s="19">
        <v>1998</v>
      </c>
      <c r="AQ127" s="19">
        <v>1999</v>
      </c>
      <c r="AR127" s="19">
        <v>2000</v>
      </c>
      <c r="AS127" s="19">
        <v>2001</v>
      </c>
      <c r="AT127" s="19">
        <v>2002</v>
      </c>
      <c r="AU127" s="19">
        <v>2003</v>
      </c>
      <c r="AV127" s="19">
        <v>2004</v>
      </c>
      <c r="AW127" s="19">
        <v>2005</v>
      </c>
      <c r="AX127" s="19">
        <v>2006</v>
      </c>
      <c r="AY127" s="19">
        <v>2007</v>
      </c>
      <c r="AZ127" s="19">
        <v>2008</v>
      </c>
      <c r="BA127" s="19">
        <v>2009</v>
      </c>
      <c r="BB127" s="19">
        <v>2010</v>
      </c>
      <c r="BC127" s="19">
        <v>2011</v>
      </c>
      <c r="BD127" s="19">
        <v>2012</v>
      </c>
      <c r="BE127" s="19">
        <v>2013</v>
      </c>
      <c r="BF127" s="19">
        <v>2014</v>
      </c>
      <c r="BG127" s="19">
        <v>2015</v>
      </c>
      <c r="BH127" s="19">
        <v>2016</v>
      </c>
      <c r="BI127" s="19">
        <v>2017</v>
      </c>
      <c r="BJ127" s="19">
        <v>2018</v>
      </c>
      <c r="BK127" s="74">
        <v>2019</v>
      </c>
    </row>
    <row r="128" spans="1:63" x14ac:dyDescent="0.25">
      <c r="C128" s="65" t="s">
        <v>229</v>
      </c>
      <c r="D128" s="66">
        <f>D120*1.609</f>
        <v>68.060699999999997</v>
      </c>
      <c r="E128" s="66">
        <f t="shared" ref="E128:BJ132" si="34">E120*1.609</f>
        <v>76.910199999999989</v>
      </c>
      <c r="F128" s="66">
        <f t="shared" si="34"/>
        <v>83.668000000000006</v>
      </c>
      <c r="G128" s="66">
        <f t="shared" si="34"/>
        <v>91.391199999999998</v>
      </c>
      <c r="H128" s="66">
        <f t="shared" si="34"/>
        <v>105.71130000000001</v>
      </c>
      <c r="I128" s="66">
        <f t="shared" si="34"/>
        <v>115.848</v>
      </c>
      <c r="J128" s="66">
        <f t="shared" si="34"/>
        <v>126.46739999999998</v>
      </c>
      <c r="K128" s="66">
        <f t="shared" si="34"/>
        <v>134.99510000000001</v>
      </c>
      <c r="L128" s="66">
        <f t="shared" si="34"/>
        <v>142.7183</v>
      </c>
      <c r="M128" s="66">
        <f t="shared" si="34"/>
        <v>147.86710000000002</v>
      </c>
      <c r="N128" s="66">
        <f t="shared" si="34"/>
        <v>154.94669999999999</v>
      </c>
      <c r="O128" s="66">
        <f t="shared" si="34"/>
        <v>165.08339999999998</v>
      </c>
      <c r="P128" s="66">
        <f t="shared" si="34"/>
        <v>174.73739999999998</v>
      </c>
      <c r="Q128" s="66">
        <f t="shared" si="34"/>
        <v>183.90869999999998</v>
      </c>
      <c r="R128" s="66">
        <f t="shared" si="34"/>
        <v>179.8862</v>
      </c>
      <c r="S128" s="66">
        <f t="shared" si="34"/>
        <v>181.49519999999998</v>
      </c>
      <c r="T128" s="66">
        <f t="shared" si="34"/>
        <v>190.34469999999999</v>
      </c>
      <c r="U128" s="66">
        <f t="shared" si="34"/>
        <v>194.0454</v>
      </c>
      <c r="V128" s="66">
        <f t="shared" si="34"/>
        <v>202.41219999999998</v>
      </c>
      <c r="W128" s="66">
        <f t="shared" si="34"/>
        <v>201.4468</v>
      </c>
      <c r="X128" s="66">
        <f t="shared" si="34"/>
        <v>214.9624</v>
      </c>
      <c r="Y128" s="66">
        <f t="shared" si="34"/>
        <v>219.4676</v>
      </c>
      <c r="Z128" s="66">
        <f t="shared" si="34"/>
        <v>227.19079999999997</v>
      </c>
      <c r="AA128" s="66">
        <f t="shared" si="34"/>
        <v>231.21329999999998</v>
      </c>
      <c r="AB128" s="66">
        <f t="shared" si="34"/>
        <v>243.92439999999999</v>
      </c>
      <c r="AC128" s="66">
        <f t="shared" si="34"/>
        <v>250.52129999999997</v>
      </c>
      <c r="AD128" s="66">
        <f t="shared" si="34"/>
        <v>264.3587</v>
      </c>
      <c r="AE128" s="66">
        <f t="shared" si="34"/>
        <v>284.47120000000001</v>
      </c>
      <c r="AF128" s="66">
        <f t="shared" si="34"/>
        <v>305.38820000000004</v>
      </c>
      <c r="AG128" s="66">
        <f t="shared" si="34"/>
        <v>331.29309999999998</v>
      </c>
      <c r="AH128" s="66">
        <f t="shared" si="34"/>
        <v>335.79829999999998</v>
      </c>
      <c r="AI128" s="66">
        <f t="shared" si="34"/>
        <v>335.15469999999999</v>
      </c>
      <c r="AJ128" s="66">
        <f t="shared" si="34"/>
        <v>337.89</v>
      </c>
      <c r="AK128" s="66">
        <f t="shared" si="34"/>
        <v>338.05090000000001</v>
      </c>
      <c r="AL128" s="66">
        <f t="shared" si="34"/>
        <v>344.96960000000001</v>
      </c>
      <c r="AM128" s="66">
        <f t="shared" si="34"/>
        <v>351.0838</v>
      </c>
      <c r="AN128" s="66">
        <f t="shared" si="34"/>
        <v>359.7724</v>
      </c>
      <c r="AO128" s="66">
        <f t="shared" si="34"/>
        <v>365.72570000000002</v>
      </c>
      <c r="AP128" s="66">
        <f t="shared" si="34"/>
        <v>370.55270000000002</v>
      </c>
      <c r="AQ128" s="66">
        <f t="shared" si="34"/>
        <v>377.31049999999999</v>
      </c>
      <c r="AR128" s="66">
        <f t="shared" si="34"/>
        <v>376.02330000000001</v>
      </c>
      <c r="AS128" s="66">
        <f t="shared" si="34"/>
        <v>381.1721</v>
      </c>
      <c r="AT128" s="66">
        <f t="shared" si="34"/>
        <v>390.5043</v>
      </c>
      <c r="AU128" s="66">
        <f t="shared" si="34"/>
        <v>389.86070000000001</v>
      </c>
      <c r="AV128" s="66">
        <f t="shared" si="34"/>
        <v>394.20499999999998</v>
      </c>
      <c r="AW128" s="66">
        <f t="shared" si="34"/>
        <v>392.596</v>
      </c>
      <c r="AX128" s="66">
        <f t="shared" si="34"/>
        <v>397.26210000000003</v>
      </c>
      <c r="AY128" s="66">
        <f t="shared" si="34"/>
        <v>397.90570000000002</v>
      </c>
      <c r="AZ128" s="66">
        <f t="shared" si="34"/>
        <v>394.84860000000003</v>
      </c>
      <c r="BA128" s="66">
        <f t="shared" si="34"/>
        <v>393.88319999999999</v>
      </c>
      <c r="BB128" s="66">
        <f t="shared" si="34"/>
        <v>389.21710000000002</v>
      </c>
      <c r="BC128" s="66">
        <f t="shared" si="34"/>
        <v>393.07870000000003</v>
      </c>
      <c r="BD128" s="66">
        <f t="shared" si="34"/>
        <v>395.0095</v>
      </c>
      <c r="BE128" s="66">
        <f t="shared" si="34"/>
        <v>396.77940000000001</v>
      </c>
      <c r="BF128" s="66">
        <f t="shared" si="34"/>
        <v>407.88150000000002</v>
      </c>
      <c r="BG128" s="66">
        <f t="shared" si="34"/>
        <v>415.28290000000004</v>
      </c>
      <c r="BH128" s="66">
        <f t="shared" si="34"/>
        <v>424.61509999999998</v>
      </c>
      <c r="BI128" s="66">
        <f t="shared" si="34"/>
        <v>432.82099999999997</v>
      </c>
      <c r="BJ128" s="66">
        <f t="shared" si="34"/>
        <v>438.13069999999999</v>
      </c>
      <c r="BK128" s="75"/>
    </row>
    <row r="129" spans="2:63" x14ac:dyDescent="0.25">
      <c r="C129" s="65" t="s">
        <v>230</v>
      </c>
      <c r="D129" s="66">
        <f>D121*1.609</f>
        <v>14.963700000000001</v>
      </c>
      <c r="E129" s="66">
        <f t="shared" si="34"/>
        <v>16.411799999999999</v>
      </c>
      <c r="F129" s="66">
        <f t="shared" si="34"/>
        <v>16.572700000000001</v>
      </c>
      <c r="G129" s="66">
        <f t="shared" si="34"/>
        <v>17.5381</v>
      </c>
      <c r="H129" s="66">
        <f t="shared" si="34"/>
        <v>17.698999999999998</v>
      </c>
      <c r="I129" s="66">
        <f t="shared" si="34"/>
        <v>18.9862</v>
      </c>
      <c r="J129" s="66">
        <f t="shared" si="34"/>
        <v>18.9862</v>
      </c>
      <c r="K129" s="66">
        <f t="shared" si="34"/>
        <v>18.664400000000001</v>
      </c>
      <c r="L129" s="66">
        <f t="shared" si="34"/>
        <v>18.825299999999999</v>
      </c>
      <c r="M129" s="66">
        <f t="shared" si="34"/>
        <v>19.308</v>
      </c>
      <c r="N129" s="66">
        <f t="shared" si="34"/>
        <v>20.273399999999999</v>
      </c>
      <c r="O129" s="66">
        <f t="shared" si="34"/>
        <v>21.238799999999998</v>
      </c>
      <c r="P129" s="66">
        <f t="shared" si="34"/>
        <v>22.2042</v>
      </c>
      <c r="Q129" s="66">
        <f t="shared" si="34"/>
        <v>23.330500000000001</v>
      </c>
      <c r="R129" s="66">
        <f t="shared" si="34"/>
        <v>23.6523</v>
      </c>
      <c r="S129" s="66">
        <f t="shared" si="34"/>
        <v>23.491399999999999</v>
      </c>
      <c r="T129" s="66">
        <f t="shared" si="34"/>
        <v>24.134999999999998</v>
      </c>
      <c r="U129" s="66">
        <f t="shared" si="34"/>
        <v>24.456799999999998</v>
      </c>
      <c r="V129" s="66">
        <f t="shared" si="34"/>
        <v>25.261299999999999</v>
      </c>
      <c r="W129" s="66">
        <f t="shared" si="34"/>
        <v>25.1004</v>
      </c>
      <c r="X129" s="66">
        <f t="shared" si="34"/>
        <v>26.065799999999999</v>
      </c>
      <c r="Y129" s="66">
        <f t="shared" si="34"/>
        <v>26.226700000000001</v>
      </c>
      <c r="Z129" s="66">
        <f t="shared" si="34"/>
        <v>26.065799999999999</v>
      </c>
      <c r="AA129" s="66">
        <f t="shared" si="34"/>
        <v>26.065799999999999</v>
      </c>
      <c r="AB129" s="66">
        <f t="shared" si="34"/>
        <v>27.513900000000003</v>
      </c>
      <c r="AC129" s="66">
        <f t="shared" si="34"/>
        <v>28.6402</v>
      </c>
      <c r="AD129" s="66">
        <f t="shared" si="34"/>
        <v>29.927400000000002</v>
      </c>
      <c r="AE129" s="66">
        <f t="shared" si="34"/>
        <v>32.662700000000001</v>
      </c>
      <c r="AF129" s="66">
        <f t="shared" si="34"/>
        <v>36.202500000000001</v>
      </c>
      <c r="AG129" s="66">
        <f t="shared" si="34"/>
        <v>39.7423</v>
      </c>
      <c r="AH129" s="66">
        <f t="shared" si="34"/>
        <v>39.903199999999998</v>
      </c>
      <c r="AI129" s="66">
        <f t="shared" si="34"/>
        <v>41.673099999999998</v>
      </c>
      <c r="AJ129" s="66">
        <f t="shared" si="34"/>
        <v>41.190400000000004</v>
      </c>
      <c r="AK129" s="66">
        <f t="shared" si="34"/>
        <v>41.5122</v>
      </c>
      <c r="AL129" s="66">
        <f t="shared" si="34"/>
        <v>43.2821</v>
      </c>
      <c r="AM129" s="66">
        <f t="shared" si="34"/>
        <v>44.569299999999998</v>
      </c>
      <c r="AN129" s="66">
        <f t="shared" si="34"/>
        <v>46.1783</v>
      </c>
      <c r="AO129" s="66">
        <f t="shared" si="34"/>
        <v>48.591799999999999</v>
      </c>
      <c r="AP129" s="66">
        <f t="shared" si="34"/>
        <v>50.8444</v>
      </c>
      <c r="AQ129" s="66">
        <f t="shared" si="34"/>
        <v>51.648900000000005</v>
      </c>
      <c r="AR129" s="66">
        <f t="shared" si="34"/>
        <v>52.131599999999999</v>
      </c>
      <c r="AS129" s="66">
        <f t="shared" si="34"/>
        <v>53.418800000000005</v>
      </c>
      <c r="AT129" s="66">
        <f t="shared" si="34"/>
        <v>54.706000000000003</v>
      </c>
      <c r="AU129" s="66">
        <f t="shared" si="34"/>
        <v>57.441300000000005</v>
      </c>
      <c r="AV129" s="66">
        <f t="shared" si="34"/>
        <v>60.176600000000001</v>
      </c>
      <c r="AW129" s="66">
        <f t="shared" si="34"/>
        <v>61.785599999999995</v>
      </c>
      <c r="AX129" s="66">
        <f t="shared" si="34"/>
        <v>64.199100000000001</v>
      </c>
      <c r="AY129" s="66">
        <f t="shared" si="34"/>
        <v>67.417099999999991</v>
      </c>
      <c r="AZ129" s="66">
        <f t="shared" si="34"/>
        <v>66.934399999999997</v>
      </c>
      <c r="BA129" s="66">
        <f t="shared" si="34"/>
        <v>65.4863</v>
      </c>
      <c r="BB129" s="66">
        <f t="shared" si="34"/>
        <v>66.6126</v>
      </c>
      <c r="BC129" s="66">
        <f t="shared" si="34"/>
        <v>67.578000000000003</v>
      </c>
      <c r="BD129" s="66">
        <f t="shared" si="34"/>
        <v>67.899799999999999</v>
      </c>
      <c r="BE129" s="66">
        <f t="shared" si="34"/>
        <v>70.474199999999996</v>
      </c>
      <c r="BF129" s="66">
        <f t="shared" si="34"/>
        <v>74.979399999999998</v>
      </c>
      <c r="BG129" s="66">
        <f t="shared" si="34"/>
        <v>78.680099999999996</v>
      </c>
      <c r="BH129" s="66">
        <f t="shared" si="34"/>
        <v>83.185299999999998</v>
      </c>
      <c r="BI129" s="66">
        <f t="shared" si="34"/>
        <v>85.920599999999993</v>
      </c>
      <c r="BJ129" s="66">
        <f t="shared" si="34"/>
        <v>87.529600000000002</v>
      </c>
      <c r="BK129" s="75"/>
    </row>
    <row r="130" spans="2:63" x14ac:dyDescent="0.25">
      <c r="C130" s="69" t="s">
        <v>231</v>
      </c>
      <c r="D130" s="66">
        <f>D122*1.609</f>
        <v>15.285499999999999</v>
      </c>
      <c r="E130" s="66">
        <f t="shared" si="34"/>
        <v>15.446399999999999</v>
      </c>
      <c r="F130" s="66">
        <f t="shared" si="34"/>
        <v>15.446399999999999</v>
      </c>
      <c r="G130" s="66">
        <f t="shared" si="34"/>
        <v>15.7682</v>
      </c>
      <c r="H130" s="66">
        <f t="shared" si="34"/>
        <v>17.377200000000002</v>
      </c>
      <c r="I130" s="66">
        <f t="shared" si="34"/>
        <v>17.2163</v>
      </c>
      <c r="J130" s="66">
        <f t="shared" si="34"/>
        <v>17.5381</v>
      </c>
      <c r="K130" s="66">
        <f t="shared" si="34"/>
        <v>17.2163</v>
      </c>
      <c r="L130" s="66">
        <f t="shared" si="34"/>
        <v>17.5381</v>
      </c>
      <c r="M130" s="66">
        <f t="shared" si="34"/>
        <v>17.377200000000002</v>
      </c>
      <c r="N130" s="66">
        <f t="shared" si="34"/>
        <v>17.5381</v>
      </c>
      <c r="O130" s="66">
        <f t="shared" si="34"/>
        <v>18.020799999999998</v>
      </c>
      <c r="P130" s="66">
        <f t="shared" si="34"/>
        <v>18.342600000000001</v>
      </c>
      <c r="Q130" s="66">
        <f t="shared" si="34"/>
        <v>19.308</v>
      </c>
      <c r="R130" s="66">
        <f t="shared" si="34"/>
        <v>18.664400000000001</v>
      </c>
      <c r="S130" s="66">
        <f t="shared" si="34"/>
        <v>18.342600000000001</v>
      </c>
      <c r="T130" s="66">
        <f t="shared" si="34"/>
        <v>19.147100000000002</v>
      </c>
      <c r="U130" s="66">
        <f t="shared" si="34"/>
        <v>18.825299999999999</v>
      </c>
      <c r="V130" s="66">
        <f t="shared" si="34"/>
        <v>19.468899999999998</v>
      </c>
      <c r="W130" s="66">
        <f t="shared" si="34"/>
        <v>19.629799999999999</v>
      </c>
      <c r="X130" s="66">
        <f t="shared" si="34"/>
        <v>19.629799999999999</v>
      </c>
      <c r="Y130" s="66">
        <f t="shared" si="34"/>
        <v>18.825299999999999</v>
      </c>
      <c r="Z130" s="66">
        <f t="shared" si="34"/>
        <v>18.342600000000001</v>
      </c>
      <c r="AA130" s="66">
        <f t="shared" si="34"/>
        <v>18.825299999999999</v>
      </c>
      <c r="AB130" s="66">
        <f t="shared" si="34"/>
        <v>19.629799999999999</v>
      </c>
      <c r="AC130" s="66">
        <f t="shared" si="34"/>
        <v>19.629799999999999</v>
      </c>
      <c r="AD130" s="66">
        <f t="shared" si="34"/>
        <v>20.112500000000001</v>
      </c>
      <c r="AE130" s="66">
        <f t="shared" si="34"/>
        <v>22.365100000000002</v>
      </c>
      <c r="AF130" s="66">
        <f t="shared" si="34"/>
        <v>23.813200000000002</v>
      </c>
      <c r="AG130" s="66">
        <f t="shared" si="34"/>
        <v>25.4222</v>
      </c>
      <c r="AH130" s="66">
        <f t="shared" si="34"/>
        <v>24.939499999999999</v>
      </c>
      <c r="AI130" s="66">
        <f t="shared" si="34"/>
        <v>24.456799999999998</v>
      </c>
      <c r="AJ130" s="66">
        <f t="shared" si="34"/>
        <v>23.813200000000002</v>
      </c>
      <c r="AK130" s="66">
        <f t="shared" si="34"/>
        <v>24.2959</v>
      </c>
      <c r="AL130" s="66">
        <f t="shared" si="34"/>
        <v>24.778600000000001</v>
      </c>
      <c r="AM130" s="66">
        <f t="shared" si="34"/>
        <v>25.4222</v>
      </c>
      <c r="AN130" s="66">
        <f t="shared" si="34"/>
        <v>26.226700000000001</v>
      </c>
      <c r="AO130" s="66">
        <f t="shared" si="34"/>
        <v>26.8703</v>
      </c>
      <c r="AP130" s="66">
        <f t="shared" si="34"/>
        <v>27.674799999999998</v>
      </c>
      <c r="AQ130" s="66">
        <f t="shared" si="34"/>
        <v>28.157499999999999</v>
      </c>
      <c r="AR130" s="66">
        <f t="shared" si="34"/>
        <v>28.157499999999999</v>
      </c>
      <c r="AS130" s="66">
        <f t="shared" si="34"/>
        <v>27.996599999999997</v>
      </c>
      <c r="AT130" s="66">
        <f t="shared" si="34"/>
        <v>28.3184</v>
      </c>
      <c r="AU130" s="66">
        <f t="shared" si="34"/>
        <v>28.479299999999999</v>
      </c>
      <c r="AV130" s="66">
        <f t="shared" si="34"/>
        <v>29.283799999999999</v>
      </c>
      <c r="AW130" s="66">
        <f t="shared" si="34"/>
        <v>28.962</v>
      </c>
      <c r="AX130" s="66">
        <f t="shared" si="34"/>
        <v>28.962</v>
      </c>
      <c r="AY130" s="66">
        <f t="shared" si="34"/>
        <v>29.283799999999999</v>
      </c>
      <c r="AZ130" s="66">
        <f t="shared" si="34"/>
        <v>28.6402</v>
      </c>
      <c r="BA130" s="66">
        <f t="shared" si="34"/>
        <v>26.226700000000001</v>
      </c>
      <c r="BB130" s="66">
        <f t="shared" si="34"/>
        <v>26.387599999999999</v>
      </c>
      <c r="BC130" s="66">
        <f t="shared" si="34"/>
        <v>25.744</v>
      </c>
      <c r="BD130" s="66">
        <f t="shared" si="34"/>
        <v>25.1004</v>
      </c>
      <c r="BE130" s="66">
        <f t="shared" si="34"/>
        <v>25.4222</v>
      </c>
      <c r="BF130" s="66">
        <f t="shared" si="34"/>
        <v>26.065799999999999</v>
      </c>
      <c r="BG130" s="66">
        <f t="shared" si="34"/>
        <v>27.031200000000002</v>
      </c>
      <c r="BH130" s="66">
        <f t="shared" si="34"/>
        <v>27.353000000000002</v>
      </c>
      <c r="BI130" s="66">
        <f t="shared" si="34"/>
        <v>27.674799999999998</v>
      </c>
      <c r="BJ130" s="66">
        <f t="shared" si="34"/>
        <v>27.835699999999999</v>
      </c>
      <c r="BK130" s="75"/>
    </row>
    <row r="131" spans="2:63" x14ac:dyDescent="0.25">
      <c r="C131" s="70" t="s">
        <v>232</v>
      </c>
      <c r="D131" s="66">
        <f>D123*1.609</f>
        <v>9.9757999999999996</v>
      </c>
      <c r="E131" s="66">
        <f t="shared" si="34"/>
        <v>9.6539999999999999</v>
      </c>
      <c r="F131" s="66">
        <f t="shared" si="34"/>
        <v>8.688600000000001</v>
      </c>
      <c r="G131" s="66">
        <f t="shared" si="34"/>
        <v>7.5623000000000005</v>
      </c>
      <c r="H131" s="66">
        <f t="shared" si="34"/>
        <v>7.5623000000000005</v>
      </c>
      <c r="I131" s="66">
        <f t="shared" si="34"/>
        <v>6.7578000000000005</v>
      </c>
      <c r="J131" s="66">
        <f t="shared" si="34"/>
        <v>5.9533000000000005</v>
      </c>
      <c r="K131" s="66">
        <f t="shared" si="34"/>
        <v>5.1488000000000005</v>
      </c>
      <c r="L131" s="66">
        <f t="shared" si="34"/>
        <v>4.6661000000000001</v>
      </c>
      <c r="M131" s="66">
        <f t="shared" si="34"/>
        <v>4.1833999999999998</v>
      </c>
      <c r="N131" s="66">
        <f t="shared" si="34"/>
        <v>4.0225</v>
      </c>
      <c r="O131" s="66">
        <f t="shared" si="34"/>
        <v>3.8615999999999997</v>
      </c>
      <c r="P131" s="66">
        <f t="shared" si="34"/>
        <v>3.7006999999999999</v>
      </c>
      <c r="Q131" s="66">
        <f t="shared" si="34"/>
        <v>3.8615999999999997</v>
      </c>
      <c r="R131" s="66">
        <f t="shared" si="34"/>
        <v>4.1833999999999998</v>
      </c>
      <c r="S131" s="66">
        <f t="shared" si="34"/>
        <v>5.1488000000000005</v>
      </c>
      <c r="T131" s="66">
        <f t="shared" si="34"/>
        <v>6.2751000000000001</v>
      </c>
      <c r="U131" s="66">
        <f t="shared" si="34"/>
        <v>6.2751000000000001</v>
      </c>
      <c r="V131" s="66">
        <f t="shared" si="34"/>
        <v>6.1141999999999994</v>
      </c>
      <c r="W131" s="66">
        <f t="shared" si="34"/>
        <v>6.4359999999999999</v>
      </c>
      <c r="X131" s="66">
        <f t="shared" si="34"/>
        <v>7.7231999999999994</v>
      </c>
      <c r="Y131" s="66">
        <f t="shared" si="34"/>
        <v>8.849499999999999</v>
      </c>
      <c r="Z131" s="66">
        <f t="shared" si="34"/>
        <v>9.1713000000000005</v>
      </c>
      <c r="AA131" s="66">
        <f t="shared" si="34"/>
        <v>8.3667999999999996</v>
      </c>
      <c r="AB131" s="66">
        <f t="shared" si="34"/>
        <v>8.0449999999999999</v>
      </c>
      <c r="AC131" s="66">
        <f t="shared" si="34"/>
        <v>7.4013999999999998</v>
      </c>
      <c r="AD131" s="66">
        <f t="shared" si="34"/>
        <v>7.0796000000000001</v>
      </c>
      <c r="AE131" s="66">
        <f t="shared" si="34"/>
        <v>6.7578000000000005</v>
      </c>
      <c r="AF131" s="66">
        <f t="shared" si="34"/>
        <v>5.9533000000000005</v>
      </c>
      <c r="AG131" s="66">
        <f t="shared" si="34"/>
        <v>5.9533000000000005</v>
      </c>
      <c r="AH131" s="66">
        <f t="shared" si="34"/>
        <v>5.6315</v>
      </c>
      <c r="AI131" s="66">
        <f t="shared" si="34"/>
        <v>5.4706000000000001</v>
      </c>
      <c r="AJ131" s="66">
        <f t="shared" si="34"/>
        <v>4.5051999999999994</v>
      </c>
      <c r="AK131" s="66">
        <f t="shared" si="34"/>
        <v>3.7006999999999999</v>
      </c>
      <c r="AL131" s="66">
        <f t="shared" si="34"/>
        <v>3.7006999999999999</v>
      </c>
      <c r="AM131" s="66">
        <f t="shared" si="34"/>
        <v>3.7006999999999999</v>
      </c>
      <c r="AN131" s="66">
        <f t="shared" si="34"/>
        <v>3.7006999999999999</v>
      </c>
      <c r="AO131" s="66">
        <f t="shared" si="34"/>
        <v>4.0225</v>
      </c>
      <c r="AP131" s="66">
        <f t="shared" si="34"/>
        <v>4.1833999999999998</v>
      </c>
      <c r="AQ131" s="66">
        <f t="shared" si="34"/>
        <v>4.5051999999999994</v>
      </c>
      <c r="AR131" s="66">
        <f t="shared" si="34"/>
        <v>4.5051999999999994</v>
      </c>
      <c r="AS131" s="66">
        <f t="shared" si="34"/>
        <v>4.827</v>
      </c>
      <c r="AT131" s="66">
        <f t="shared" si="34"/>
        <v>4.9878999999999998</v>
      </c>
      <c r="AU131" s="66">
        <f t="shared" si="34"/>
        <v>5.4706000000000001</v>
      </c>
      <c r="AV131" s="66">
        <f t="shared" si="34"/>
        <v>5.1488000000000005</v>
      </c>
      <c r="AW131" s="66">
        <f t="shared" si="34"/>
        <v>5.3096999999999994</v>
      </c>
      <c r="AX131" s="66">
        <f t="shared" si="34"/>
        <v>5.1488000000000005</v>
      </c>
      <c r="AY131" s="66">
        <f t="shared" si="34"/>
        <v>5.4706000000000001</v>
      </c>
      <c r="AZ131" s="66">
        <f t="shared" si="34"/>
        <v>4.9878999999999998</v>
      </c>
      <c r="BA131" s="66">
        <f t="shared" si="34"/>
        <v>5.1488000000000005</v>
      </c>
      <c r="BB131" s="66">
        <f t="shared" si="34"/>
        <v>4.6661000000000001</v>
      </c>
      <c r="BC131" s="66">
        <f t="shared" si="34"/>
        <v>4.6661000000000001</v>
      </c>
      <c r="BD131" s="66">
        <f t="shared" si="34"/>
        <v>4.6661000000000001</v>
      </c>
      <c r="BE131" s="66">
        <f t="shared" si="34"/>
        <v>4.5051999999999994</v>
      </c>
      <c r="BF131" s="66">
        <f t="shared" si="34"/>
        <v>4.6661000000000001</v>
      </c>
      <c r="BG131" s="66">
        <f t="shared" si="34"/>
        <v>4.6661000000000001</v>
      </c>
      <c r="BH131" s="66">
        <f t="shared" si="34"/>
        <v>4.827</v>
      </c>
      <c r="BI131" s="66">
        <f t="shared" si="34"/>
        <v>4.827</v>
      </c>
      <c r="BJ131" s="66">
        <f t="shared" si="34"/>
        <v>4.827</v>
      </c>
      <c r="BK131" s="75"/>
    </row>
    <row r="132" spans="2:63" x14ac:dyDescent="0.25">
      <c r="C132" s="70" t="s">
        <v>233</v>
      </c>
      <c r="D132" s="66">
        <f>D124*1.609</f>
        <v>3.8615999999999997</v>
      </c>
      <c r="E132" s="66">
        <f t="shared" si="34"/>
        <v>4.0225</v>
      </c>
      <c r="F132" s="66">
        <f t="shared" si="34"/>
        <v>4.0225</v>
      </c>
      <c r="G132" s="66">
        <f t="shared" si="34"/>
        <v>4.0225</v>
      </c>
      <c r="H132" s="66">
        <f t="shared" si="34"/>
        <v>4.0225</v>
      </c>
      <c r="I132" s="66">
        <f t="shared" si="34"/>
        <v>3.8615999999999997</v>
      </c>
      <c r="J132" s="66">
        <f t="shared" si="34"/>
        <v>3.8615999999999997</v>
      </c>
      <c r="K132" s="66">
        <f t="shared" si="34"/>
        <v>3.8615999999999997</v>
      </c>
      <c r="L132" s="66">
        <f t="shared" si="34"/>
        <v>3.8615999999999997</v>
      </c>
      <c r="M132" s="66">
        <f t="shared" si="34"/>
        <v>3.8615999999999997</v>
      </c>
      <c r="N132" s="66">
        <f t="shared" si="34"/>
        <v>3.5398000000000001</v>
      </c>
      <c r="O132" s="66">
        <f t="shared" si="34"/>
        <v>3.5398000000000001</v>
      </c>
      <c r="P132" s="66">
        <f t="shared" si="34"/>
        <v>3.5398000000000001</v>
      </c>
      <c r="Q132" s="66">
        <f t="shared" si="34"/>
        <v>3.5398000000000001</v>
      </c>
      <c r="R132" s="66">
        <f t="shared" si="34"/>
        <v>3.3789000000000002</v>
      </c>
      <c r="S132" s="66">
        <f t="shared" si="34"/>
        <v>3.218</v>
      </c>
      <c r="T132" s="66">
        <f t="shared" si="34"/>
        <v>3.3789000000000002</v>
      </c>
      <c r="U132" s="66">
        <f t="shared" si="34"/>
        <v>3.218</v>
      </c>
      <c r="V132" s="66">
        <f t="shared" si="34"/>
        <v>3.3789000000000002</v>
      </c>
      <c r="W132" s="66">
        <f t="shared" si="34"/>
        <v>3.3789000000000002</v>
      </c>
      <c r="X132" s="66">
        <f t="shared" si="34"/>
        <v>3.5398000000000001</v>
      </c>
      <c r="Y132" s="66">
        <f t="shared" si="34"/>
        <v>3.5398000000000001</v>
      </c>
      <c r="Z132" s="66">
        <f t="shared" si="34"/>
        <v>3.5398000000000001</v>
      </c>
      <c r="AA132" s="66">
        <f t="shared" si="34"/>
        <v>3.7006999999999999</v>
      </c>
      <c r="AB132" s="66">
        <f t="shared" ref="AB132:BJ132" si="35">AB124*1.609</f>
        <v>3.8615999999999997</v>
      </c>
      <c r="AC132" s="66">
        <f t="shared" si="35"/>
        <v>3.7006999999999999</v>
      </c>
      <c r="AD132" s="66">
        <f t="shared" si="35"/>
        <v>3.7006999999999999</v>
      </c>
      <c r="AE132" s="66">
        <f t="shared" si="35"/>
        <v>4.0225</v>
      </c>
      <c r="AF132" s="66">
        <f t="shared" si="35"/>
        <v>4.3443000000000005</v>
      </c>
      <c r="AG132" s="66">
        <f t="shared" si="35"/>
        <v>4.5051999999999994</v>
      </c>
      <c r="AH132" s="66">
        <f t="shared" si="35"/>
        <v>4.6661000000000001</v>
      </c>
      <c r="AI132" s="66">
        <f t="shared" si="35"/>
        <v>4.827</v>
      </c>
      <c r="AJ132" s="66">
        <f t="shared" si="35"/>
        <v>4.6661000000000001</v>
      </c>
      <c r="AK132" s="66">
        <f t="shared" si="35"/>
        <v>4.6661000000000001</v>
      </c>
      <c r="AL132" s="66">
        <f t="shared" si="35"/>
        <v>4.6661000000000001</v>
      </c>
      <c r="AM132" s="66">
        <f t="shared" si="35"/>
        <v>4.827</v>
      </c>
      <c r="AN132" s="66">
        <f t="shared" si="35"/>
        <v>4.9878999999999998</v>
      </c>
      <c r="AO132" s="66">
        <f t="shared" si="35"/>
        <v>5.1488000000000005</v>
      </c>
      <c r="AP132" s="66">
        <f t="shared" si="35"/>
        <v>5.3096999999999994</v>
      </c>
      <c r="AQ132" s="66">
        <f t="shared" si="35"/>
        <v>5.3096999999999994</v>
      </c>
      <c r="AR132" s="66">
        <f t="shared" si="35"/>
        <v>5.1488000000000005</v>
      </c>
      <c r="AS132" s="66">
        <f t="shared" si="35"/>
        <v>5.1488000000000005</v>
      </c>
      <c r="AT132" s="66">
        <f t="shared" si="35"/>
        <v>5.1488000000000005</v>
      </c>
      <c r="AU132" s="66">
        <f t="shared" si="35"/>
        <v>5.3096999999999994</v>
      </c>
      <c r="AV132" s="66">
        <f t="shared" si="35"/>
        <v>5.1488000000000005</v>
      </c>
      <c r="AW132" s="66">
        <f t="shared" si="35"/>
        <v>5.1488000000000005</v>
      </c>
      <c r="AX132" s="66">
        <f t="shared" si="35"/>
        <v>5.3096999999999994</v>
      </c>
      <c r="AY132" s="66">
        <f t="shared" si="35"/>
        <v>5.4706000000000001</v>
      </c>
      <c r="AZ132" s="66">
        <f t="shared" si="35"/>
        <v>4.9878999999999998</v>
      </c>
      <c r="BA132" s="66">
        <f t="shared" si="35"/>
        <v>4.9878999999999998</v>
      </c>
      <c r="BB132" s="66">
        <f t="shared" si="35"/>
        <v>5.1488000000000005</v>
      </c>
      <c r="BC132" s="66">
        <f t="shared" si="35"/>
        <v>4.827</v>
      </c>
      <c r="BD132" s="66">
        <f t="shared" si="35"/>
        <v>4.5051999999999994</v>
      </c>
      <c r="BE132" s="66">
        <f t="shared" si="35"/>
        <v>4.6661000000000001</v>
      </c>
      <c r="BF132" s="66">
        <f t="shared" si="35"/>
        <v>4.6661000000000001</v>
      </c>
      <c r="BG132" s="66">
        <f t="shared" si="35"/>
        <v>4.5051999999999994</v>
      </c>
      <c r="BH132" s="66">
        <f t="shared" si="35"/>
        <v>4.1833999999999998</v>
      </c>
      <c r="BI132" s="66">
        <f t="shared" si="35"/>
        <v>4.1833999999999998</v>
      </c>
      <c r="BJ132" s="66">
        <f t="shared" si="35"/>
        <v>4.0225</v>
      </c>
      <c r="BK132" s="75"/>
    </row>
    <row r="133" spans="2:63" s="19" customFormat="1" x14ac:dyDescent="0.25">
      <c r="C133" s="71" t="s">
        <v>222</v>
      </c>
      <c r="D133" s="72">
        <f>SUM(D128:D132)</f>
        <v>112.14729999999999</v>
      </c>
      <c r="E133" s="72">
        <f t="shared" ref="E133:BJ133" si="36">SUM(E128:E132)</f>
        <v>122.44489999999998</v>
      </c>
      <c r="F133" s="72">
        <f t="shared" si="36"/>
        <v>128.3982</v>
      </c>
      <c r="G133" s="72">
        <f t="shared" si="36"/>
        <v>136.28229999999999</v>
      </c>
      <c r="H133" s="72">
        <f t="shared" si="36"/>
        <v>152.37230000000002</v>
      </c>
      <c r="I133" s="72">
        <f t="shared" si="36"/>
        <v>162.66990000000001</v>
      </c>
      <c r="J133" s="72">
        <f t="shared" si="36"/>
        <v>172.8066</v>
      </c>
      <c r="K133" s="72">
        <f t="shared" si="36"/>
        <v>179.8862</v>
      </c>
      <c r="L133" s="72">
        <f t="shared" si="36"/>
        <v>187.60940000000002</v>
      </c>
      <c r="M133" s="72">
        <f t="shared" si="36"/>
        <v>192.59730000000002</v>
      </c>
      <c r="N133" s="72">
        <f t="shared" si="36"/>
        <v>200.32050000000001</v>
      </c>
      <c r="O133" s="72">
        <f t="shared" si="36"/>
        <v>211.74440000000001</v>
      </c>
      <c r="P133" s="72">
        <f t="shared" si="36"/>
        <v>222.52470000000002</v>
      </c>
      <c r="Q133" s="72">
        <f t="shared" si="36"/>
        <v>233.9486</v>
      </c>
      <c r="R133" s="72">
        <f t="shared" si="36"/>
        <v>229.76519999999999</v>
      </c>
      <c r="S133" s="72">
        <f t="shared" si="36"/>
        <v>231.69599999999997</v>
      </c>
      <c r="T133" s="72">
        <f t="shared" si="36"/>
        <v>243.28079999999997</v>
      </c>
      <c r="U133" s="72">
        <f t="shared" si="36"/>
        <v>246.82059999999998</v>
      </c>
      <c r="V133" s="72">
        <f t="shared" si="36"/>
        <v>256.63549999999998</v>
      </c>
      <c r="W133" s="72">
        <f t="shared" si="36"/>
        <v>255.99189999999999</v>
      </c>
      <c r="X133" s="72">
        <f t="shared" si="36"/>
        <v>271.92100000000005</v>
      </c>
      <c r="Y133" s="72">
        <f t="shared" si="36"/>
        <v>276.90889999999996</v>
      </c>
      <c r="Z133" s="72">
        <f t="shared" si="36"/>
        <v>284.31029999999993</v>
      </c>
      <c r="AA133" s="72">
        <f t="shared" si="36"/>
        <v>288.17189999999994</v>
      </c>
      <c r="AB133" s="72">
        <f t="shared" si="36"/>
        <v>302.97469999999998</v>
      </c>
      <c r="AC133" s="72">
        <f t="shared" si="36"/>
        <v>309.89339999999999</v>
      </c>
      <c r="AD133" s="72">
        <f t="shared" si="36"/>
        <v>325.1789</v>
      </c>
      <c r="AE133" s="72">
        <f t="shared" si="36"/>
        <v>350.27929999999998</v>
      </c>
      <c r="AF133" s="72">
        <f t="shared" si="36"/>
        <v>375.70150000000001</v>
      </c>
      <c r="AG133" s="72">
        <f t="shared" si="36"/>
        <v>406.91609999999997</v>
      </c>
      <c r="AH133" s="72">
        <f t="shared" si="36"/>
        <v>410.93860000000006</v>
      </c>
      <c r="AI133" s="72">
        <f t="shared" si="36"/>
        <v>411.58219999999994</v>
      </c>
      <c r="AJ133" s="72">
        <f t="shared" si="36"/>
        <v>412.06489999999997</v>
      </c>
      <c r="AK133" s="72">
        <f t="shared" si="36"/>
        <v>412.22580000000005</v>
      </c>
      <c r="AL133" s="72">
        <f t="shared" si="36"/>
        <v>421.39710000000002</v>
      </c>
      <c r="AM133" s="72">
        <f t="shared" si="36"/>
        <v>429.60299999999995</v>
      </c>
      <c r="AN133" s="72">
        <f t="shared" si="36"/>
        <v>440.86599999999999</v>
      </c>
      <c r="AO133" s="72">
        <f t="shared" si="36"/>
        <v>450.35909999999996</v>
      </c>
      <c r="AP133" s="72">
        <f t="shared" si="36"/>
        <v>458.56500000000005</v>
      </c>
      <c r="AQ133" s="72">
        <f t="shared" si="36"/>
        <v>466.93180000000001</v>
      </c>
      <c r="AR133" s="72">
        <f t="shared" si="36"/>
        <v>465.96640000000002</v>
      </c>
      <c r="AS133" s="72">
        <f t="shared" si="36"/>
        <v>472.56330000000003</v>
      </c>
      <c r="AT133" s="72">
        <f t="shared" si="36"/>
        <v>483.66540000000003</v>
      </c>
      <c r="AU133" s="72">
        <f t="shared" si="36"/>
        <v>486.56160000000006</v>
      </c>
      <c r="AV133" s="72">
        <f t="shared" si="36"/>
        <v>493.96299999999997</v>
      </c>
      <c r="AW133" s="72">
        <f t="shared" si="36"/>
        <v>493.8021</v>
      </c>
      <c r="AX133" s="72">
        <f t="shared" si="36"/>
        <v>500.88170000000002</v>
      </c>
      <c r="AY133" s="72">
        <f t="shared" si="36"/>
        <v>505.5478</v>
      </c>
      <c r="AZ133" s="72">
        <f t="shared" si="36"/>
        <v>500.39900000000006</v>
      </c>
      <c r="BA133" s="72">
        <f t="shared" si="36"/>
        <v>495.73290000000003</v>
      </c>
      <c r="BB133" s="72">
        <f t="shared" si="36"/>
        <v>492.03220000000005</v>
      </c>
      <c r="BC133" s="72">
        <f t="shared" si="36"/>
        <v>495.89380000000006</v>
      </c>
      <c r="BD133" s="72">
        <f t="shared" si="36"/>
        <v>497.18099999999998</v>
      </c>
      <c r="BE133" s="72">
        <f t="shared" si="36"/>
        <v>501.84709999999995</v>
      </c>
      <c r="BF133" s="72">
        <f t="shared" si="36"/>
        <v>518.25890000000004</v>
      </c>
      <c r="BG133" s="72">
        <f t="shared" si="36"/>
        <v>530.16549999999995</v>
      </c>
      <c r="BH133" s="72">
        <f t="shared" si="36"/>
        <v>544.16379999999992</v>
      </c>
      <c r="BI133" s="72">
        <f t="shared" si="36"/>
        <v>555.42679999999996</v>
      </c>
      <c r="BJ133" s="72">
        <f t="shared" si="36"/>
        <v>562.34550000000002</v>
      </c>
      <c r="BK133" s="76"/>
    </row>
    <row r="134" spans="2:63" s="19" customFormat="1" x14ac:dyDescent="0.25">
      <c r="H134" s="72"/>
      <c r="I134" s="72"/>
      <c r="J134" s="72"/>
      <c r="K134" s="72"/>
      <c r="L134" s="72"/>
      <c r="M134" s="72"/>
      <c r="N134" s="72"/>
      <c r="O134" s="72"/>
      <c r="P134" s="72"/>
      <c r="Q134" s="72"/>
      <c r="R134" s="72"/>
      <c r="S134" s="72"/>
      <c r="T134" s="72"/>
      <c r="U134" s="72"/>
      <c r="V134" s="72"/>
      <c r="W134" s="72"/>
      <c r="X134" s="72"/>
      <c r="Y134" s="72"/>
      <c r="Z134" s="72"/>
      <c r="AA134" s="72"/>
      <c r="AB134" s="72"/>
      <c r="AC134" s="72"/>
      <c r="AD134" s="72"/>
      <c r="AE134" s="72"/>
      <c r="AF134" s="72"/>
      <c r="AG134" s="72"/>
      <c r="AH134" s="72"/>
      <c r="AI134" s="72"/>
      <c r="AJ134" s="72"/>
      <c r="AK134" s="72"/>
      <c r="AL134" s="72"/>
      <c r="AM134" s="72"/>
      <c r="AN134" s="72"/>
      <c r="AO134" s="72"/>
      <c r="AP134" s="72"/>
      <c r="AQ134" s="72"/>
      <c r="AR134" s="72"/>
      <c r="AS134" s="72"/>
      <c r="AT134" s="72"/>
      <c r="AU134" s="72"/>
      <c r="AV134" s="72"/>
      <c r="AW134" s="72"/>
      <c r="AX134" s="72"/>
      <c r="AY134" s="72"/>
      <c r="AZ134" s="72"/>
      <c r="BA134" s="72"/>
      <c r="BB134" s="72"/>
      <c r="BC134" s="77"/>
      <c r="BK134" s="33"/>
    </row>
    <row r="135" spans="2:63" x14ac:dyDescent="0.25">
      <c r="C135" s="78"/>
      <c r="D135" s="19">
        <v>1960</v>
      </c>
      <c r="E135" s="19">
        <v>1961</v>
      </c>
      <c r="F135" s="19">
        <v>1962</v>
      </c>
      <c r="G135" s="19">
        <v>1963</v>
      </c>
      <c r="H135" s="19">
        <v>1964</v>
      </c>
      <c r="I135" s="19">
        <v>1965</v>
      </c>
      <c r="J135" s="19">
        <v>1966</v>
      </c>
      <c r="K135" s="19">
        <v>1967</v>
      </c>
      <c r="L135" s="19">
        <v>1968</v>
      </c>
      <c r="M135" s="19">
        <v>1969</v>
      </c>
      <c r="N135" s="19">
        <v>1970</v>
      </c>
      <c r="O135" s="19">
        <v>1971</v>
      </c>
      <c r="P135" s="19">
        <v>1972</v>
      </c>
      <c r="Q135" s="19">
        <v>1973</v>
      </c>
      <c r="R135" s="19">
        <v>1974</v>
      </c>
      <c r="S135" s="19">
        <v>1975</v>
      </c>
      <c r="T135" s="19">
        <v>1976</v>
      </c>
      <c r="U135" s="19">
        <v>1977</v>
      </c>
      <c r="V135" s="19">
        <v>1978</v>
      </c>
      <c r="W135" s="19">
        <v>1979</v>
      </c>
      <c r="X135" s="19">
        <v>1980</v>
      </c>
      <c r="Y135" s="19">
        <v>1981</v>
      </c>
      <c r="Z135" s="19">
        <v>1982</v>
      </c>
      <c r="AA135" s="19">
        <v>1983</v>
      </c>
      <c r="AB135" s="19">
        <v>1984</v>
      </c>
      <c r="AC135" s="19">
        <v>1985</v>
      </c>
      <c r="AD135" s="19">
        <v>1986</v>
      </c>
      <c r="AE135" s="19">
        <v>1987</v>
      </c>
      <c r="AF135" s="19">
        <v>1988</v>
      </c>
      <c r="AG135" s="19">
        <v>1989</v>
      </c>
      <c r="AH135" s="19">
        <v>1990</v>
      </c>
      <c r="AI135" s="19">
        <v>1991</v>
      </c>
      <c r="AJ135" s="19">
        <v>1992</v>
      </c>
      <c r="AK135" s="19">
        <v>1993</v>
      </c>
      <c r="AL135" s="19">
        <v>1994</v>
      </c>
      <c r="AM135" s="19">
        <v>1995</v>
      </c>
      <c r="AN135" s="19">
        <v>1996</v>
      </c>
      <c r="AO135" s="19">
        <v>1997</v>
      </c>
      <c r="AP135" s="19">
        <v>1998</v>
      </c>
      <c r="AQ135" s="19">
        <v>1999</v>
      </c>
      <c r="AR135" s="19">
        <v>2000</v>
      </c>
      <c r="AS135" s="19">
        <v>2001</v>
      </c>
      <c r="AT135" s="19">
        <v>2002</v>
      </c>
      <c r="AU135" s="19">
        <v>2003</v>
      </c>
      <c r="AV135" s="19">
        <v>2004</v>
      </c>
      <c r="AW135" s="19">
        <v>2005</v>
      </c>
      <c r="AX135" s="19">
        <v>2006</v>
      </c>
      <c r="AY135" s="19">
        <v>2007</v>
      </c>
      <c r="AZ135" s="19">
        <v>2008</v>
      </c>
      <c r="BA135" s="19">
        <v>2009</v>
      </c>
      <c r="BB135" s="19">
        <v>2010</v>
      </c>
      <c r="BC135" s="19">
        <v>2011</v>
      </c>
      <c r="BD135" s="19">
        <v>2012</v>
      </c>
      <c r="BE135" s="19">
        <v>2013</v>
      </c>
      <c r="BF135" s="19">
        <v>2014</v>
      </c>
      <c r="BG135" s="19">
        <v>2015</v>
      </c>
      <c r="BH135" s="19">
        <v>2016</v>
      </c>
      <c r="BI135" s="19">
        <v>2017</v>
      </c>
      <c r="BJ135" s="19">
        <v>2018</v>
      </c>
      <c r="BK135" s="33">
        <v>2019</v>
      </c>
    </row>
    <row r="136" spans="2:63" s="19" customFormat="1" x14ac:dyDescent="0.25">
      <c r="B136" s="19" t="s">
        <v>236</v>
      </c>
      <c r="C136" s="19" t="s">
        <v>237</v>
      </c>
      <c r="D136" s="79">
        <f>D190</f>
        <v>18.419263685956835</v>
      </c>
      <c r="E136" s="79">
        <f t="shared" ref="E136:BK137" si="37">E190</f>
        <v>18.439436885244504</v>
      </c>
      <c r="F136" s="79">
        <f t="shared" si="37"/>
        <v>18.45963217868189</v>
      </c>
      <c r="G136" s="79">
        <f t="shared" si="37"/>
        <v>18.479849590467005</v>
      </c>
      <c r="H136" s="79">
        <f t="shared" si="37"/>
        <v>18.500089144824376</v>
      </c>
      <c r="I136" s="79">
        <f t="shared" si="37"/>
        <v>18.52035086600505</v>
      </c>
      <c r="J136" s="79">
        <f t="shared" si="37"/>
        <v>18.540634778286645</v>
      </c>
      <c r="K136" s="79">
        <f t="shared" si="37"/>
        <v>18.560940905973357</v>
      </c>
      <c r="L136" s="79">
        <f t="shared" si="37"/>
        <v>18.581269273396011</v>
      </c>
      <c r="M136" s="79">
        <f t="shared" si="37"/>
        <v>18.60161990491207</v>
      </c>
      <c r="N136" s="79">
        <f t="shared" si="37"/>
        <v>18.621992824905686</v>
      </c>
      <c r="O136" s="79">
        <f t="shared" si="37"/>
        <v>18.757042674793492</v>
      </c>
      <c r="P136" s="79">
        <f t="shared" si="37"/>
        <v>18.571230594429597</v>
      </c>
      <c r="Q136" s="79">
        <f t="shared" si="37"/>
        <v>18.316606523136212</v>
      </c>
      <c r="R136" s="79">
        <f t="shared" si="37"/>
        <v>18.50194690100232</v>
      </c>
      <c r="S136" s="79">
        <f t="shared" si="37"/>
        <v>19.078681954666806</v>
      </c>
      <c r="T136" s="79">
        <f t="shared" si="37"/>
        <v>19.116247561760403</v>
      </c>
      <c r="U136" s="79">
        <f t="shared" si="37"/>
        <v>18.913312806810609</v>
      </c>
      <c r="V136" s="79">
        <f t="shared" si="37"/>
        <v>18.559742545893577</v>
      </c>
      <c r="W136" s="79">
        <f t="shared" si="37"/>
        <v>18.127460775445787</v>
      </c>
      <c r="X136" s="79">
        <f t="shared" si="37"/>
        <v>18.826953274751638</v>
      </c>
      <c r="Y136" s="79">
        <f t="shared" si="37"/>
        <v>19.666091864015687</v>
      </c>
      <c r="Z136" s="79">
        <f t="shared" si="37"/>
        <v>19.68819640511051</v>
      </c>
      <c r="AA136" s="79">
        <f t="shared" si="37"/>
        <v>19.610951801334956</v>
      </c>
      <c r="AB136" s="79">
        <f t="shared" si="37"/>
        <v>19.98379507856944</v>
      </c>
      <c r="AC136" s="79">
        <f t="shared" si="37"/>
        <v>20.286372963439387</v>
      </c>
      <c r="AD136" s="79">
        <f t="shared" si="37"/>
        <v>20.279212269510353</v>
      </c>
      <c r="AE136" s="79">
        <f t="shared" si="37"/>
        <v>20.986669424774043</v>
      </c>
      <c r="AF136" s="79">
        <f t="shared" si="37"/>
        <v>21.365157126714291</v>
      </c>
      <c r="AG136" s="79">
        <f t="shared" si="37"/>
        <v>22.463654512202812</v>
      </c>
      <c r="AH136" s="79">
        <f t="shared" si="37"/>
        <v>21.584384786190739</v>
      </c>
      <c r="AI136" s="79">
        <f t="shared" si="37"/>
        <v>21.58800320066711</v>
      </c>
      <c r="AJ136" s="79">
        <f t="shared" si="37"/>
        <v>21.241794090439988</v>
      </c>
      <c r="AK136" s="79">
        <f t="shared" si="37"/>
        <v>20.937520348552837</v>
      </c>
      <c r="AL136" s="79">
        <f t="shared" si="37"/>
        <v>21.461874233757271</v>
      </c>
      <c r="AM136" s="79">
        <f t="shared" si="37"/>
        <v>22.03645507415257</v>
      </c>
      <c r="AN136" s="79">
        <f t="shared" si="37"/>
        <v>21.627821137594371</v>
      </c>
      <c r="AO136" s="79">
        <f t="shared" si="37"/>
        <v>21.725409174488831</v>
      </c>
      <c r="AP136" s="79">
        <f t="shared" si="37"/>
        <v>22.18786910573942</v>
      </c>
      <c r="AQ136" s="79">
        <f t="shared" si="37"/>
        <v>22.122605917303186</v>
      </c>
      <c r="AR136" s="79">
        <f t="shared" si="37"/>
        <v>22.080430683179507</v>
      </c>
      <c r="AS136" s="79">
        <f t="shared" si="37"/>
        <v>22.343340472766766</v>
      </c>
      <c r="AT136" s="79">
        <f t="shared" si="37"/>
        <v>22.360749251836772</v>
      </c>
      <c r="AU136" s="79">
        <f t="shared" si="37"/>
        <v>22.601934891250128</v>
      </c>
      <c r="AV136" s="79">
        <f t="shared" si="37"/>
        <v>22.652432242956866</v>
      </c>
      <c r="AW136" s="79">
        <f t="shared" si="37"/>
        <v>22.480788868282598</v>
      </c>
      <c r="AX136" s="79">
        <f t="shared" si="37"/>
        <v>22.819434540554539</v>
      </c>
      <c r="AY136" s="79">
        <f t="shared" si="37"/>
        <v>22.722290799133809</v>
      </c>
      <c r="AZ136" s="79">
        <f t="shared" si="37"/>
        <v>23.145238960466536</v>
      </c>
      <c r="BA136" s="79">
        <f t="shared" si="37"/>
        <v>23.766039855249421</v>
      </c>
      <c r="BB136" s="79">
        <f t="shared" si="37"/>
        <v>24.19222833033977</v>
      </c>
      <c r="BC136" s="79">
        <f t="shared" si="37"/>
        <v>24.665870464460905</v>
      </c>
      <c r="BD136" s="79">
        <f t="shared" si="37"/>
        <v>24.86262354700882</v>
      </c>
      <c r="BE136" s="79">
        <f t="shared" si="37"/>
        <v>25.392045865047844</v>
      </c>
      <c r="BF136" s="79">
        <f t="shared" si="37"/>
        <v>26.005106414245706</v>
      </c>
      <c r="BG136" s="79">
        <f t="shared" si="37"/>
        <v>26.271171472158613</v>
      </c>
      <c r="BH136" s="79">
        <f t="shared" si="37"/>
        <v>26.494086039097528</v>
      </c>
      <c r="BI136" s="79">
        <f t="shared" si="37"/>
        <v>27.045090164760488</v>
      </c>
      <c r="BJ136" s="79">
        <f t="shared" si="37"/>
        <v>27.869758302924698</v>
      </c>
      <c r="BK136" s="79">
        <f t="shared" si="37"/>
        <v>0</v>
      </c>
    </row>
    <row r="137" spans="2:63" s="19" customFormat="1" x14ac:dyDescent="0.25">
      <c r="B137" s="19" t="s">
        <v>236</v>
      </c>
      <c r="C137" s="19" t="s">
        <v>238</v>
      </c>
      <c r="D137" s="79">
        <f>D191</f>
        <v>23.023653428644913</v>
      </c>
      <c r="E137" s="79">
        <f t="shared" si="37"/>
        <v>23.048866801743902</v>
      </c>
      <c r="F137" s="79">
        <f t="shared" si="37"/>
        <v>23.07410778619419</v>
      </c>
      <c r="G137" s="79">
        <f t="shared" si="37"/>
        <v>23.099376412233173</v>
      </c>
      <c r="H137" s="79">
        <f t="shared" si="37"/>
        <v>23.12467271013136</v>
      </c>
      <c r="I137" s="79">
        <f t="shared" si="37"/>
        <v>23.149996710192408</v>
      </c>
      <c r="J137" s="79">
        <f t="shared" si="37"/>
        <v>23.175348442753158</v>
      </c>
      <c r="K137" s="79">
        <f t="shared" si="37"/>
        <v>23.200727938183679</v>
      </c>
      <c r="L137" s="79">
        <f t="shared" si="37"/>
        <v>23.226135226887294</v>
      </c>
      <c r="M137" s="79">
        <f t="shared" si="37"/>
        <v>23.251570339300621</v>
      </c>
      <c r="N137" s="79">
        <f t="shared" si="37"/>
        <v>23.27703330589361</v>
      </c>
      <c r="O137" s="79">
        <f t="shared" si="37"/>
        <v>23.445827399166788</v>
      </c>
      <c r="P137" s="79">
        <f t="shared" si="37"/>
        <v>23.213576886480769</v>
      </c>
      <c r="Q137" s="79">
        <f t="shared" si="37"/>
        <v>22.895277748393806</v>
      </c>
      <c r="R137" s="79">
        <f t="shared" si="37"/>
        <v>23.126951155089962</v>
      </c>
      <c r="S137" s="79">
        <f t="shared" si="37"/>
        <v>23.847830206107091</v>
      </c>
      <c r="T137" s="79">
        <f t="shared" si="37"/>
        <v>23.894800766590958</v>
      </c>
      <c r="U137" s="79">
        <f t="shared" si="37"/>
        <v>23.641113381440114</v>
      </c>
      <c r="V137" s="79">
        <f t="shared" si="37"/>
        <v>23.199190856491384</v>
      </c>
      <c r="W137" s="79">
        <f t="shared" si="37"/>
        <v>22.658857228338718</v>
      </c>
      <c r="X137" s="79">
        <f t="shared" si="37"/>
        <v>23.53320167899912</v>
      </c>
      <c r="Y137" s="79">
        <f t="shared" si="37"/>
        <v>24.58208563884984</v>
      </c>
      <c r="Z137" s="79">
        <f t="shared" si="37"/>
        <v>24.609661441433154</v>
      </c>
      <c r="AA137" s="79">
        <f t="shared" si="37"/>
        <v>24.513054740000396</v>
      </c>
      <c r="AB137" s="79">
        <f t="shared" si="37"/>
        <v>24.97901025138092</v>
      </c>
      <c r="AC137" s="79">
        <f t="shared" si="37"/>
        <v>25.357121732814132</v>
      </c>
      <c r="AD137" s="79">
        <f t="shared" si="37"/>
        <v>25.348023193248896</v>
      </c>
      <c r="AE137" s="79">
        <f t="shared" si="37"/>
        <v>26.231246449596938</v>
      </c>
      <c r="AF137" s="79">
        <f t="shared" si="37"/>
        <v>26.703694550098049</v>
      </c>
      <c r="AG137" s="79">
        <f t="shared" si="37"/>
        <v>28.074114187472453</v>
      </c>
      <c r="AH137" s="79">
        <f t="shared" si="37"/>
        <v>26.967683363307607</v>
      </c>
      <c r="AI137" s="79">
        <f t="shared" si="37"/>
        <v>26.968524986053858</v>
      </c>
      <c r="AJ137" s="79">
        <f t="shared" si="37"/>
        <v>26.52744038168521</v>
      </c>
      <c r="AK137" s="79">
        <f t="shared" si="37"/>
        <v>26.132914862261472</v>
      </c>
      <c r="AL137" s="79">
        <f t="shared" si="37"/>
        <v>26.757865830239854</v>
      </c>
      <c r="AM137" s="79">
        <f t="shared" si="37"/>
        <v>27.445824823464175</v>
      </c>
      <c r="AN137" s="79">
        <f t="shared" si="37"/>
        <v>26.915784859474002</v>
      </c>
      <c r="AO137" s="79">
        <f t="shared" si="37"/>
        <v>27.016664955388904</v>
      </c>
      <c r="AP137" s="79">
        <f t="shared" si="37"/>
        <v>27.580107577062847</v>
      </c>
      <c r="AQ137" s="79">
        <f t="shared" si="37"/>
        <v>27.475852965121081</v>
      </c>
      <c r="AR137" s="79">
        <f t="shared" si="37"/>
        <v>27.406928543738633</v>
      </c>
      <c r="AS137" s="79">
        <f t="shared" si="37"/>
        <v>27.702076177656181</v>
      </c>
      <c r="AT137" s="79">
        <f t="shared" si="37"/>
        <v>27.678521517298396</v>
      </c>
      <c r="AU137" s="79">
        <f t="shared" si="37"/>
        <v>27.917490437042186</v>
      </c>
      <c r="AV137" s="79">
        <f t="shared" si="37"/>
        <v>27.919208872232772</v>
      </c>
      <c r="AW137" s="79">
        <f t="shared" si="37"/>
        <v>27.629033698981004</v>
      </c>
      <c r="AX137" s="79">
        <f t="shared" si="37"/>
        <v>27.948234587628079</v>
      </c>
      <c r="AY137" s="79">
        <f t="shared" si="37"/>
        <v>27.744044722670822</v>
      </c>
      <c r="AZ137" s="79">
        <f t="shared" si="37"/>
        <v>28.162595898816875</v>
      </c>
      <c r="BA137" s="79">
        <f t="shared" si="37"/>
        <v>28.838926873085846</v>
      </c>
      <c r="BB137" s="79">
        <f t="shared" si="37"/>
        <v>29.24103506897216</v>
      </c>
      <c r="BC137" s="79">
        <f t="shared" si="37"/>
        <v>29.68455452175688</v>
      </c>
      <c r="BD137" s="79">
        <f t="shared" si="37"/>
        <v>29.77611426826914</v>
      </c>
      <c r="BE137" s="79">
        <f t="shared" si="37"/>
        <v>30.292388397400547</v>
      </c>
      <c r="BF137" s="79">
        <f t="shared" si="37"/>
        <v>30.93536983574451</v>
      </c>
      <c r="BG137" s="79">
        <f t="shared" si="37"/>
        <v>31.149545333250433</v>
      </c>
      <c r="BH137" s="79">
        <f t="shared" si="37"/>
        <v>31.32276499311125</v>
      </c>
      <c r="BI137" s="79">
        <f t="shared" si="37"/>
        <v>31.926737982978775</v>
      </c>
      <c r="BJ137" s="79">
        <f t="shared" si="37"/>
        <v>32.89906069213837</v>
      </c>
      <c r="BK137" s="79">
        <f t="shared" si="37"/>
        <v>0</v>
      </c>
    </row>
    <row r="138" spans="2:63" s="19" customFormat="1" x14ac:dyDescent="0.25">
      <c r="C138" s="19" t="str">
        <f>C202</f>
        <v>Light vehicles gasoline - mpgUK</v>
      </c>
      <c r="D138" s="79">
        <f>D202</f>
        <v>13.198187025887085</v>
      </c>
      <c r="E138" s="79">
        <f t="shared" ref="E138:BK139" si="38">E202</f>
        <v>13.286884804063495</v>
      </c>
      <c r="F138" s="79">
        <f t="shared" si="38"/>
        <v>13.376178671372299</v>
      </c>
      <c r="G138" s="79">
        <f t="shared" si="38"/>
        <v>13.466072633801708</v>
      </c>
      <c r="H138" s="79">
        <f t="shared" si="38"/>
        <v>13.556570724261984</v>
      </c>
      <c r="I138" s="79">
        <f t="shared" si="38"/>
        <v>13.647677002766368</v>
      </c>
      <c r="J138" s="79">
        <f t="shared" si="38"/>
        <v>13.739395556613223</v>
      </c>
      <c r="K138" s="79">
        <f t="shared" si="38"/>
        <v>13.831730500569401</v>
      </c>
      <c r="L138" s="79">
        <f t="shared" si="38"/>
        <v>13.92468597705485</v>
      </c>
      <c r="M138" s="79">
        <f t="shared" si="38"/>
        <v>14.018266156328448</v>
      </c>
      <c r="N138" s="79">
        <f t="shared" si="38"/>
        <v>14.112475236675097</v>
      </c>
      <c r="O138" s="79">
        <f t="shared" si="38"/>
        <v>14.315515959698503</v>
      </c>
      <c r="P138" s="79">
        <f t="shared" si="38"/>
        <v>14.361285304437729</v>
      </c>
      <c r="Q138" s="79">
        <f t="shared" si="38"/>
        <v>14.237548770846731</v>
      </c>
      <c r="R138" s="79">
        <f t="shared" si="38"/>
        <v>14.334215424197868</v>
      </c>
      <c r="S138" s="79">
        <f t="shared" si="38"/>
        <v>14.798855866002407</v>
      </c>
      <c r="T138" s="79">
        <f t="shared" si="38"/>
        <v>14.913976917758454</v>
      </c>
      <c r="U138" s="79">
        <f t="shared" si="38"/>
        <v>14.748281948232068</v>
      </c>
      <c r="V138" s="79">
        <f t="shared" si="38"/>
        <v>14.708301218711632</v>
      </c>
      <c r="W138" s="79">
        <f t="shared" si="38"/>
        <v>14.443147000556786</v>
      </c>
      <c r="X138" s="79">
        <f t="shared" si="38"/>
        <v>15.090099641346885</v>
      </c>
      <c r="Y138" s="79">
        <f t="shared" si="38"/>
        <v>15.694906861936628</v>
      </c>
      <c r="Z138" s="79">
        <f t="shared" si="38"/>
        <v>15.59682747056312</v>
      </c>
      <c r="AA138" s="79">
        <f t="shared" si="38"/>
        <v>15.438073381277212</v>
      </c>
      <c r="AB138" s="79">
        <f t="shared" si="38"/>
        <v>15.469937491935877</v>
      </c>
      <c r="AC138" s="79">
        <f t="shared" si="38"/>
        <v>15.708593462986421</v>
      </c>
      <c r="AD138" s="79">
        <f t="shared" si="38"/>
        <v>15.31775218847967</v>
      </c>
      <c r="AE138" s="79">
        <f t="shared" si="38"/>
        <v>15.837323771667965</v>
      </c>
      <c r="AF138" s="79">
        <f t="shared" si="38"/>
        <v>15.924200498184033</v>
      </c>
      <c r="AG138" s="79">
        <f t="shared" si="38"/>
        <v>14.166359141912137</v>
      </c>
      <c r="AH138" s="79">
        <f t="shared" si="38"/>
        <v>14.605803456492563</v>
      </c>
      <c r="AI138" s="79">
        <f t="shared" si="38"/>
        <v>14.618602570493724</v>
      </c>
      <c r="AJ138" s="79">
        <f t="shared" si="38"/>
        <v>14.142460366905471</v>
      </c>
      <c r="AK138" s="79">
        <f t="shared" si="38"/>
        <v>13.882713594290852</v>
      </c>
      <c r="AL138" s="79">
        <f t="shared" si="38"/>
        <v>13.703522988505425</v>
      </c>
      <c r="AM138" s="79">
        <f t="shared" si="38"/>
        <v>13.952614287011185</v>
      </c>
      <c r="AN138" s="79">
        <f t="shared" si="38"/>
        <v>13.66022325738434</v>
      </c>
      <c r="AO138" s="79">
        <f t="shared" si="38"/>
        <v>13.676300720657535</v>
      </c>
      <c r="AP138" s="79">
        <f t="shared" si="38"/>
        <v>13.987354984454594</v>
      </c>
      <c r="AQ138" s="79">
        <f t="shared" si="38"/>
        <v>14.126268053156576</v>
      </c>
      <c r="AR138" s="79">
        <f t="shared" si="38"/>
        <v>14.174272921831802</v>
      </c>
      <c r="AS138" s="79">
        <f t="shared" si="38"/>
        <v>14.413515403496298</v>
      </c>
      <c r="AT138" s="79">
        <f t="shared" si="38"/>
        <v>14.468901024841088</v>
      </c>
      <c r="AU138" s="79">
        <f t="shared" si="38"/>
        <v>14.68379556860242</v>
      </c>
      <c r="AV138" s="79">
        <f t="shared" si="38"/>
        <v>14.883329466058466</v>
      </c>
      <c r="AW138" s="79">
        <f t="shared" si="38"/>
        <v>14.816595137644356</v>
      </c>
      <c r="AX138" s="79">
        <f t="shared" si="38"/>
        <v>14.990615352739463</v>
      </c>
      <c r="AY138" s="79">
        <f t="shared" si="38"/>
        <v>15.159862825921262</v>
      </c>
      <c r="AZ138" s="79">
        <f t="shared" si="38"/>
        <v>15.846034587106846</v>
      </c>
      <c r="BA138" s="79">
        <f t="shared" si="38"/>
        <v>15.69796449321025</v>
      </c>
      <c r="BB138" s="79">
        <f t="shared" si="38"/>
        <v>15.612769671806783</v>
      </c>
      <c r="BC138" s="79">
        <f t="shared" si="38"/>
        <v>15.728129725145047</v>
      </c>
      <c r="BD138" s="79">
        <f t="shared" si="38"/>
        <v>15.611579186609092</v>
      </c>
      <c r="BE138" s="79">
        <f t="shared" si="38"/>
        <v>15.985449064033896</v>
      </c>
      <c r="BF138" s="79">
        <f t="shared" si="38"/>
        <v>16.28501450295326</v>
      </c>
      <c r="BG138" s="79">
        <f t="shared" si="38"/>
        <v>16.272871899014341</v>
      </c>
      <c r="BH138" s="79">
        <f t="shared" si="38"/>
        <v>16.182980019883235</v>
      </c>
      <c r="BI138" s="79">
        <f t="shared" si="38"/>
        <v>16.514346628543581</v>
      </c>
      <c r="BJ138" s="79">
        <f t="shared" si="38"/>
        <v>16.886700607716126</v>
      </c>
      <c r="BK138" s="79">
        <f t="shared" si="38"/>
        <v>0</v>
      </c>
    </row>
    <row r="139" spans="2:63" s="19" customFormat="1" x14ac:dyDescent="0.25">
      <c r="C139" s="19" t="str">
        <f>C203</f>
        <v>Light vehicles diesel - mpgUK</v>
      </c>
      <c r="D139" s="79">
        <f>D203</f>
        <v>16.49773378235885</v>
      </c>
      <c r="E139" s="79">
        <f t="shared" si="38"/>
        <v>16.608606005079363</v>
      </c>
      <c r="F139" s="79">
        <f t="shared" si="38"/>
        <v>16.720223339215369</v>
      </c>
      <c r="G139" s="79">
        <f t="shared" si="38"/>
        <v>16.83259079225213</v>
      </c>
      <c r="H139" s="79">
        <f t="shared" si="38"/>
        <v>16.945713405327474</v>
      </c>
      <c r="I139" s="79">
        <f t="shared" si="38"/>
        <v>17.059596253457954</v>
      </c>
      <c r="J139" s="79">
        <f t="shared" si="38"/>
        <v>17.174244445766522</v>
      </c>
      <c r="K139" s="79">
        <f t="shared" si="38"/>
        <v>17.289663125711744</v>
      </c>
      <c r="L139" s="79">
        <f t="shared" si="38"/>
        <v>17.405857471318555</v>
      </c>
      <c r="M139" s="79">
        <f t="shared" si="38"/>
        <v>17.522832695410553</v>
      </c>
      <c r="N139" s="79">
        <f t="shared" si="38"/>
        <v>17.640594045843866</v>
      </c>
      <c r="O139" s="79">
        <f t="shared" si="38"/>
        <v>17.894394949623134</v>
      </c>
      <c r="P139" s="79">
        <f t="shared" si="38"/>
        <v>17.951606630547165</v>
      </c>
      <c r="Q139" s="79">
        <f t="shared" si="38"/>
        <v>17.796935963558415</v>
      </c>
      <c r="R139" s="79">
        <f t="shared" si="38"/>
        <v>17.917769280247338</v>
      </c>
      <c r="S139" s="79">
        <f t="shared" si="38"/>
        <v>18.498569832503012</v>
      </c>
      <c r="T139" s="79">
        <f t="shared" si="38"/>
        <v>18.642471147198066</v>
      </c>
      <c r="U139" s="79">
        <f t="shared" si="38"/>
        <v>18.435352435290078</v>
      </c>
      <c r="V139" s="79">
        <f t="shared" si="38"/>
        <v>18.385376523389539</v>
      </c>
      <c r="W139" s="79">
        <f t="shared" si="38"/>
        <v>18.053933750695982</v>
      </c>
      <c r="X139" s="79">
        <f t="shared" si="38"/>
        <v>18.862624551683606</v>
      </c>
      <c r="Y139" s="79">
        <f t="shared" si="38"/>
        <v>19.618633577420788</v>
      </c>
      <c r="Z139" s="79">
        <f t="shared" si="38"/>
        <v>19.496034338203906</v>
      </c>
      <c r="AA139" s="79">
        <f t="shared" si="38"/>
        <v>19.297591726596512</v>
      </c>
      <c r="AB139" s="79">
        <f t="shared" si="38"/>
        <v>19.337421864919847</v>
      </c>
      <c r="AC139" s="79">
        <f t="shared" si="38"/>
        <v>19.635741828733028</v>
      </c>
      <c r="AD139" s="79">
        <f t="shared" si="38"/>
        <v>19.147190235599584</v>
      </c>
      <c r="AE139" s="79">
        <f t="shared" si="38"/>
        <v>19.79665471458495</v>
      </c>
      <c r="AF139" s="79">
        <f t="shared" si="38"/>
        <v>19.905250622730037</v>
      </c>
      <c r="AG139" s="79">
        <f t="shared" si="38"/>
        <v>17.707948927390181</v>
      </c>
      <c r="AH139" s="79">
        <f t="shared" si="38"/>
        <v>18.257254320615697</v>
      </c>
      <c r="AI139" s="79">
        <f t="shared" si="38"/>
        <v>18.273253213117158</v>
      </c>
      <c r="AJ139" s="79">
        <f t="shared" si="38"/>
        <v>17.678075458631842</v>
      </c>
      <c r="AK139" s="79">
        <f t="shared" si="38"/>
        <v>17.353391992863564</v>
      </c>
      <c r="AL139" s="79">
        <f t="shared" si="38"/>
        <v>17.129403735631783</v>
      </c>
      <c r="AM139" s="79">
        <f t="shared" si="38"/>
        <v>17.440767858763987</v>
      </c>
      <c r="AN139" s="79">
        <f t="shared" si="38"/>
        <v>17.075279071730428</v>
      </c>
      <c r="AO139" s="79">
        <f t="shared" si="38"/>
        <v>17.095375900821924</v>
      </c>
      <c r="AP139" s="79">
        <f t="shared" si="38"/>
        <v>17.484193730568236</v>
      </c>
      <c r="AQ139" s="79">
        <f t="shared" si="38"/>
        <v>17.65783506644572</v>
      </c>
      <c r="AR139" s="79">
        <f t="shared" si="38"/>
        <v>17.717841152289754</v>
      </c>
      <c r="AS139" s="79">
        <f t="shared" si="38"/>
        <v>18.016894254370371</v>
      </c>
      <c r="AT139" s="79">
        <f t="shared" si="38"/>
        <v>18.086126281051371</v>
      </c>
      <c r="AU139" s="79">
        <f t="shared" si="38"/>
        <v>18.354744460753025</v>
      </c>
      <c r="AV139" s="79">
        <f t="shared" si="38"/>
        <v>18.604161832573084</v>
      </c>
      <c r="AW139" s="79">
        <f t="shared" si="38"/>
        <v>18.520743922055434</v>
      </c>
      <c r="AX139" s="79">
        <f t="shared" si="38"/>
        <v>18.738269190924321</v>
      </c>
      <c r="AY139" s="79">
        <f t="shared" si="38"/>
        <v>18.949828532401575</v>
      </c>
      <c r="AZ139" s="79">
        <f t="shared" si="38"/>
        <v>19.807543233883564</v>
      </c>
      <c r="BA139" s="79">
        <f t="shared" si="38"/>
        <v>19.622455616512809</v>
      </c>
      <c r="BB139" s="79">
        <f t="shared" si="38"/>
        <v>19.515962089758471</v>
      </c>
      <c r="BC139" s="79">
        <f t="shared" si="38"/>
        <v>19.660162156431308</v>
      </c>
      <c r="BD139" s="79">
        <f t="shared" si="38"/>
        <v>19.514473983261365</v>
      </c>
      <c r="BE139" s="79">
        <f t="shared" si="38"/>
        <v>19.981811330042369</v>
      </c>
      <c r="BF139" s="79">
        <f t="shared" si="38"/>
        <v>20.356268128691578</v>
      </c>
      <c r="BG139" s="79">
        <f t="shared" si="38"/>
        <v>20.341089873767928</v>
      </c>
      <c r="BH139" s="79">
        <f t="shared" si="38"/>
        <v>20.228725024854047</v>
      </c>
      <c r="BI139" s="79">
        <f t="shared" si="38"/>
        <v>20.642933285679476</v>
      </c>
      <c r="BJ139" s="79">
        <f t="shared" si="38"/>
        <v>21.108375759645153</v>
      </c>
      <c r="BK139" s="79">
        <f t="shared" si="38"/>
        <v>0</v>
      </c>
    </row>
    <row r="140" spans="2:63" s="19" customFormat="1" x14ac:dyDescent="0.25">
      <c r="C140" s="19" t="s">
        <v>239</v>
      </c>
      <c r="D140" s="79">
        <f>D214</f>
        <v>17.588036033599646</v>
      </c>
      <c r="E140" s="79">
        <f t="shared" ref="E140:BK141" si="39">E214</f>
        <v>17.624697118955932</v>
      </c>
      <c r="F140" s="79">
        <f t="shared" si="39"/>
        <v>17.661434621893857</v>
      </c>
      <c r="G140" s="79">
        <f t="shared" si="39"/>
        <v>17.698248701700763</v>
      </c>
      <c r="H140" s="79">
        <f t="shared" si="39"/>
        <v>17.735139517996014</v>
      </c>
      <c r="I140" s="79">
        <f t="shared" si="39"/>
        <v>17.772107230731692</v>
      </c>
      <c r="J140" s="79">
        <f t="shared" si="39"/>
        <v>17.809152000193286</v>
      </c>
      <c r="K140" s="79">
        <f t="shared" si="39"/>
        <v>17.846273987000387</v>
      </c>
      <c r="L140" s="79">
        <f t="shared" si="39"/>
        <v>17.883473352107394</v>
      </c>
      <c r="M140" s="79">
        <f t="shared" si="39"/>
        <v>17.920750256804197</v>
      </c>
      <c r="N140" s="79">
        <f t="shared" si="39"/>
        <v>17.95810486271689</v>
      </c>
      <c r="O140" s="79">
        <f t="shared" si="39"/>
        <v>18.11638653689927</v>
      </c>
      <c r="P140" s="79">
        <f t="shared" si="39"/>
        <v>17.977125886429569</v>
      </c>
      <c r="Q140" s="79">
        <f t="shared" si="39"/>
        <v>17.744343373324352</v>
      </c>
      <c r="R140" s="79">
        <f t="shared" si="39"/>
        <v>17.897302590387522</v>
      </c>
      <c r="S140" s="79">
        <f t="shared" si="39"/>
        <v>18.466714062780319</v>
      </c>
      <c r="T140" s="79">
        <f t="shared" si="39"/>
        <v>18.528816006478078</v>
      </c>
      <c r="U140" s="79">
        <f t="shared" si="39"/>
        <v>18.333843917853613</v>
      </c>
      <c r="V140" s="79">
        <f t="shared" si="39"/>
        <v>18.035786207524595</v>
      </c>
      <c r="W140" s="79">
        <f t="shared" si="39"/>
        <v>17.629257545091612</v>
      </c>
      <c r="X140" s="79">
        <f t="shared" si="39"/>
        <v>18.335960288246753</v>
      </c>
      <c r="Y140" s="79">
        <f t="shared" si="39"/>
        <v>19.148951261626902</v>
      </c>
      <c r="Z140" s="79">
        <f t="shared" si="39"/>
        <v>19.170672507681616</v>
      </c>
      <c r="AA140" s="79">
        <f t="shared" si="39"/>
        <v>19.088286989211319</v>
      </c>
      <c r="AB140" s="79">
        <f t="shared" si="39"/>
        <v>19.409804179562531</v>
      </c>
      <c r="AC140" s="79">
        <f t="shared" si="39"/>
        <v>19.697548066184755</v>
      </c>
      <c r="AD140" s="79">
        <f t="shared" si="39"/>
        <v>19.632631572063147</v>
      </c>
      <c r="AE140" s="79">
        <f t="shared" si="39"/>
        <v>20.306868791529876</v>
      </c>
      <c r="AF140" s="79">
        <f t="shared" si="39"/>
        <v>20.618814767754994</v>
      </c>
      <c r="AG140" s="79">
        <f t="shared" si="39"/>
        <v>21.138226729842906</v>
      </c>
      <c r="AH140" s="79">
        <f t="shared" si="39"/>
        <v>20.543407259579851</v>
      </c>
      <c r="AI140" s="79">
        <f t="shared" si="39"/>
        <v>20.508759425836718</v>
      </c>
      <c r="AJ140" s="79">
        <f t="shared" si="39"/>
        <v>20.145995989214548</v>
      </c>
      <c r="AK140" s="79">
        <f t="shared" si="39"/>
        <v>19.839742810357606</v>
      </c>
      <c r="AL140" s="79">
        <f t="shared" si="39"/>
        <v>20.196316929795113</v>
      </c>
      <c r="AM140" s="79">
        <f t="shared" si="39"/>
        <v>20.698868763323947</v>
      </c>
      <c r="AN140" s="79">
        <f t="shared" si="39"/>
        <v>20.297211587924227</v>
      </c>
      <c r="AO140" s="79">
        <f t="shared" si="39"/>
        <v>20.340919447128574</v>
      </c>
      <c r="AP140" s="79">
        <f t="shared" si="39"/>
        <v>20.742705514042935</v>
      </c>
      <c r="AQ140" s="79">
        <f t="shared" si="39"/>
        <v>20.734493372389672</v>
      </c>
      <c r="AR140" s="79">
        <f t="shared" si="39"/>
        <v>20.702001257232961</v>
      </c>
      <c r="AS140" s="79">
        <f t="shared" si="39"/>
        <v>20.958494609693322</v>
      </c>
      <c r="AT140" s="79">
        <f t="shared" si="39"/>
        <v>20.992647268976828</v>
      </c>
      <c r="AU140" s="79">
        <f t="shared" si="39"/>
        <v>21.184583216537135</v>
      </c>
      <c r="AV140" s="79">
        <f t="shared" si="39"/>
        <v>21.243750014369422</v>
      </c>
      <c r="AW140" s="79">
        <f t="shared" si="39"/>
        <v>21.071681343359494</v>
      </c>
      <c r="AX140" s="79">
        <f t="shared" si="39"/>
        <v>21.358933605838764</v>
      </c>
      <c r="AY140" s="79">
        <f t="shared" si="39"/>
        <v>21.290766005126944</v>
      </c>
      <c r="AZ140" s="79">
        <f t="shared" si="39"/>
        <v>21.81166000786979</v>
      </c>
      <c r="BA140" s="79">
        <f t="shared" si="39"/>
        <v>22.274587821717983</v>
      </c>
      <c r="BB140" s="79">
        <f t="shared" si="39"/>
        <v>22.550106878809494</v>
      </c>
      <c r="BC140" s="79">
        <f t="shared" si="39"/>
        <v>22.949275318893516</v>
      </c>
      <c r="BD140" s="79">
        <f t="shared" si="39"/>
        <v>23.082251773165044</v>
      </c>
      <c r="BE140" s="79">
        <f t="shared" si="39"/>
        <v>23.55857256529524</v>
      </c>
      <c r="BF140" s="79">
        <f t="shared" si="39"/>
        <v>24.063218058180382</v>
      </c>
      <c r="BG140" s="79">
        <f t="shared" si="39"/>
        <v>24.221166313441127</v>
      </c>
      <c r="BH140" s="79">
        <f t="shared" si="39"/>
        <v>24.310046237342778</v>
      </c>
      <c r="BI140" s="79">
        <f t="shared" si="39"/>
        <v>24.799771175915922</v>
      </c>
      <c r="BJ140" s="79">
        <f t="shared" si="39"/>
        <v>25.498151536182831</v>
      </c>
      <c r="BK140" s="79">
        <f t="shared" si="39"/>
        <v>0</v>
      </c>
    </row>
    <row r="141" spans="2:63" s="19" customFormat="1" x14ac:dyDescent="0.25">
      <c r="C141" s="19" t="s">
        <v>240</v>
      </c>
      <c r="D141" s="79">
        <f>D215</f>
        <v>21.984638095867581</v>
      </c>
      <c r="E141" s="79">
        <f t="shared" si="39"/>
        <v>22.030461062559088</v>
      </c>
      <c r="F141" s="79">
        <f t="shared" si="39"/>
        <v>22.076379538863591</v>
      </c>
      <c r="G141" s="79">
        <f t="shared" si="39"/>
        <v>22.122393723853452</v>
      </c>
      <c r="H141" s="79">
        <f t="shared" si="39"/>
        <v>22.168503817015964</v>
      </c>
      <c r="I141" s="79">
        <f t="shared" si="39"/>
        <v>22.214710018254209</v>
      </c>
      <c r="J141" s="79">
        <f t="shared" si="39"/>
        <v>22.261012527887935</v>
      </c>
      <c r="K141" s="79">
        <f t="shared" si="39"/>
        <v>22.307411546654425</v>
      </c>
      <c r="L141" s="79">
        <f t="shared" si="39"/>
        <v>22.35390727570935</v>
      </c>
      <c r="M141" s="79">
        <f t="shared" si="39"/>
        <v>22.400499916627663</v>
      </c>
      <c r="N141" s="79">
        <f t="shared" si="39"/>
        <v>22.447189671404463</v>
      </c>
      <c r="O141" s="79">
        <f t="shared" si="39"/>
        <v>22.645023482914574</v>
      </c>
      <c r="P141" s="79">
        <f t="shared" si="39"/>
        <v>22.470960760551254</v>
      </c>
      <c r="Q141" s="79">
        <f t="shared" si="39"/>
        <v>22.179963820370983</v>
      </c>
      <c r="R141" s="79">
        <f t="shared" si="39"/>
        <v>22.371161533996947</v>
      </c>
      <c r="S141" s="79">
        <f t="shared" si="39"/>
        <v>23.082887092532705</v>
      </c>
      <c r="T141" s="79">
        <f t="shared" si="39"/>
        <v>23.160526954111237</v>
      </c>
      <c r="U141" s="79">
        <f t="shared" si="39"/>
        <v>22.91679343576056</v>
      </c>
      <c r="V141" s="79">
        <f t="shared" si="39"/>
        <v>22.544259191128404</v>
      </c>
      <c r="W141" s="79">
        <f t="shared" si="39"/>
        <v>22.036116072965022</v>
      </c>
      <c r="X141" s="79">
        <f t="shared" si="39"/>
        <v>22.919473222473478</v>
      </c>
      <c r="Y141" s="79">
        <f t="shared" si="39"/>
        <v>23.935673801503139</v>
      </c>
      <c r="Z141" s="79">
        <f t="shared" si="39"/>
        <v>23.962771922377456</v>
      </c>
      <c r="AA141" s="79">
        <f t="shared" si="39"/>
        <v>23.859740648973631</v>
      </c>
      <c r="AB141" s="79">
        <f t="shared" si="39"/>
        <v>24.261542698590176</v>
      </c>
      <c r="AC141" s="79">
        <f t="shared" si="39"/>
        <v>24.621115122568618</v>
      </c>
      <c r="AD141" s="79">
        <f t="shared" si="39"/>
        <v>24.539828954864181</v>
      </c>
      <c r="AE141" s="79">
        <f t="shared" si="39"/>
        <v>25.381563368099044</v>
      </c>
      <c r="AF141" s="79">
        <f t="shared" si="39"/>
        <v>25.770862731205</v>
      </c>
      <c r="AG141" s="79">
        <f t="shared" si="39"/>
        <v>26.417651260257891</v>
      </c>
      <c r="AH141" s="79">
        <f t="shared" si="39"/>
        <v>25.66707866208295</v>
      </c>
      <c r="AI141" s="79">
        <f t="shared" si="39"/>
        <v>25.62029409887958</v>
      </c>
      <c r="AJ141" s="79">
        <f t="shared" si="39"/>
        <v>25.158972225141675</v>
      </c>
      <c r="AK141" s="79">
        <f t="shared" si="39"/>
        <v>24.762736996603081</v>
      </c>
      <c r="AL141" s="79">
        <f t="shared" si="39"/>
        <v>25.180016096751267</v>
      </c>
      <c r="AM141" s="79">
        <f t="shared" si="39"/>
        <v>25.779896276892913</v>
      </c>
      <c r="AN141" s="79">
        <f t="shared" si="39"/>
        <v>25.259843646393172</v>
      </c>
      <c r="AO141" s="79">
        <f t="shared" si="39"/>
        <v>25.294980691683893</v>
      </c>
      <c r="AP141" s="79">
        <f t="shared" si="39"/>
        <v>25.783731046468777</v>
      </c>
      <c r="AQ141" s="79">
        <f t="shared" si="39"/>
        <v>25.751843762694651</v>
      </c>
      <c r="AR141" s="79">
        <f t="shared" si="39"/>
        <v>25.695978367015744</v>
      </c>
      <c r="AS141" s="79">
        <f t="shared" si="39"/>
        <v>25.985094527578763</v>
      </c>
      <c r="AT141" s="79">
        <f t="shared" si="39"/>
        <v>25.985061260489818</v>
      </c>
      <c r="AU141" s="79">
        <f t="shared" si="39"/>
        <v>26.166803957538875</v>
      </c>
      <c r="AV141" s="79">
        <f t="shared" si="39"/>
        <v>26.183002669176428</v>
      </c>
      <c r="AW141" s="79">
        <f t="shared" si="39"/>
        <v>25.897231513581872</v>
      </c>
      <c r="AX141" s="79">
        <f t="shared" si="39"/>
        <v>26.159477610922789</v>
      </c>
      <c r="AY141" s="79">
        <f t="shared" si="39"/>
        <v>25.996144906686911</v>
      </c>
      <c r="AZ141" s="79">
        <f t="shared" si="39"/>
        <v>26.539927616787072</v>
      </c>
      <c r="BA141" s="79">
        <f t="shared" si="39"/>
        <v>27.029122783229123</v>
      </c>
      <c r="BB141" s="79">
        <f t="shared" si="39"/>
        <v>27.256210426279388</v>
      </c>
      <c r="BC141" s="79">
        <f t="shared" si="39"/>
        <v>27.618689371617648</v>
      </c>
      <c r="BD141" s="79">
        <f t="shared" si="39"/>
        <v>27.643895466912948</v>
      </c>
      <c r="BE141" s="79">
        <f t="shared" si="39"/>
        <v>28.105078024398242</v>
      </c>
      <c r="BF141" s="79">
        <f t="shared" si="39"/>
        <v>28.625322204418605</v>
      </c>
      <c r="BG141" s="79">
        <f t="shared" si="39"/>
        <v>28.718868471636522</v>
      </c>
      <c r="BH141" s="79">
        <f t="shared" si="39"/>
        <v>28.740673074748337</v>
      </c>
      <c r="BI141" s="79">
        <f t="shared" si="39"/>
        <v>29.276138165846227</v>
      </c>
      <c r="BJ141" s="79">
        <f t="shared" si="39"/>
        <v>30.099480081898946</v>
      </c>
      <c r="BK141" s="79">
        <f t="shared" si="39"/>
        <v>0</v>
      </c>
    </row>
    <row r="142" spans="2:63" s="19" customFormat="1" x14ac:dyDescent="0.25">
      <c r="H142" s="72"/>
      <c r="I142" s="72"/>
      <c r="J142" s="72"/>
      <c r="K142" s="72"/>
      <c r="L142" s="72"/>
      <c r="M142" s="72"/>
      <c r="N142" s="72"/>
      <c r="O142" s="72"/>
      <c r="P142" s="72"/>
      <c r="Q142" s="72"/>
      <c r="R142" s="72"/>
      <c r="S142" s="72"/>
      <c r="T142" s="72"/>
      <c r="U142" s="72"/>
      <c r="V142" s="72"/>
      <c r="W142" s="72"/>
      <c r="X142" s="72"/>
      <c r="Y142" s="72"/>
      <c r="Z142" s="72"/>
      <c r="AA142" s="72"/>
      <c r="AB142" s="72"/>
      <c r="AC142" s="72"/>
      <c r="AD142" s="72"/>
      <c r="AE142" s="72"/>
      <c r="AF142" s="72"/>
      <c r="AG142" s="72"/>
      <c r="AH142" s="72"/>
      <c r="AI142" s="72"/>
      <c r="AJ142" s="72"/>
      <c r="AK142" s="72"/>
      <c r="AL142" s="72"/>
      <c r="AM142" s="72"/>
      <c r="AN142" s="72"/>
      <c r="AO142" s="72"/>
      <c r="AP142" s="72"/>
      <c r="AQ142" s="72"/>
      <c r="AR142" s="72"/>
      <c r="AS142" s="72"/>
      <c r="AT142" s="72"/>
      <c r="AU142" s="72"/>
      <c r="AV142" s="72"/>
      <c r="AW142" s="72"/>
      <c r="AX142" s="72"/>
      <c r="AY142" s="72"/>
      <c r="AZ142" s="72"/>
      <c r="BA142" s="72"/>
      <c r="BB142" s="72"/>
      <c r="BC142" s="77"/>
      <c r="BK142" s="33"/>
    </row>
    <row r="143" spans="2:63" s="19" customFormat="1" x14ac:dyDescent="0.25">
      <c r="H143" s="72"/>
      <c r="I143" s="72"/>
      <c r="J143" s="72"/>
      <c r="K143" s="72"/>
      <c r="L143" s="72"/>
      <c r="M143" s="72"/>
      <c r="N143" s="72"/>
      <c r="O143" s="72"/>
      <c r="P143" s="72"/>
      <c r="Q143" s="72"/>
      <c r="R143" s="72"/>
      <c r="S143" s="72"/>
      <c r="T143" s="72"/>
      <c r="U143" s="72"/>
      <c r="V143" s="72"/>
      <c r="W143" s="72"/>
      <c r="X143" s="72"/>
      <c r="Y143" s="72"/>
      <c r="Z143" s="72"/>
      <c r="AA143" s="72"/>
      <c r="AB143" s="72"/>
      <c r="AC143" s="72"/>
      <c r="AD143" s="72"/>
      <c r="AE143" s="72"/>
      <c r="AF143" s="72"/>
      <c r="AG143" s="72"/>
      <c r="AH143" s="72"/>
      <c r="AI143" s="72"/>
      <c r="AJ143" s="72"/>
      <c r="AK143" s="72"/>
      <c r="AL143" s="72"/>
      <c r="AM143" s="72"/>
      <c r="AN143" s="72"/>
      <c r="AO143" s="72"/>
      <c r="AP143" s="72"/>
      <c r="AQ143" s="72"/>
      <c r="AR143" s="72"/>
      <c r="AS143" s="72"/>
      <c r="AT143" s="72"/>
      <c r="AU143" s="72"/>
      <c r="AV143" s="72"/>
      <c r="AW143" s="72"/>
      <c r="AX143" s="72"/>
      <c r="AY143" s="72"/>
      <c r="AZ143" s="72"/>
      <c r="BA143" s="72"/>
      <c r="BB143" s="72"/>
      <c r="BC143" s="77"/>
      <c r="BK143" s="33"/>
    </row>
    <row r="144" spans="2:63" s="19" customFormat="1" x14ac:dyDescent="0.25">
      <c r="H144" s="72"/>
      <c r="I144" s="72"/>
      <c r="J144" s="72"/>
      <c r="K144" s="72"/>
      <c r="L144" s="72"/>
      <c r="M144" s="72"/>
      <c r="N144" s="72"/>
      <c r="O144" s="72"/>
      <c r="P144" s="72"/>
      <c r="Q144" s="72"/>
      <c r="R144" s="72"/>
      <c r="S144" s="72"/>
      <c r="T144" s="72"/>
      <c r="U144" s="72"/>
      <c r="V144" s="72"/>
      <c r="W144" s="72"/>
      <c r="X144" s="72"/>
      <c r="Y144" s="72"/>
      <c r="Z144" s="72"/>
      <c r="AA144" s="72"/>
      <c r="AB144" s="72"/>
      <c r="AC144" s="72"/>
      <c r="AD144" s="72"/>
      <c r="AE144" s="72"/>
      <c r="AF144" s="72"/>
      <c r="AG144" s="72"/>
      <c r="AH144" s="72"/>
      <c r="AI144" s="72"/>
      <c r="AJ144" s="72"/>
      <c r="AK144" s="72"/>
      <c r="AL144" s="72"/>
      <c r="AM144" s="72"/>
      <c r="AN144" s="72"/>
      <c r="AO144" s="72"/>
      <c r="AP144" s="72"/>
      <c r="AQ144" s="72"/>
      <c r="AR144" s="72"/>
      <c r="AS144" s="72"/>
      <c r="AT144" s="72"/>
      <c r="AU144" s="72"/>
      <c r="AV144" s="72"/>
      <c r="AW144" s="72"/>
      <c r="AX144" s="72"/>
      <c r="AY144" s="72"/>
      <c r="AZ144" s="72"/>
      <c r="BA144" s="72"/>
      <c r="BB144" s="72"/>
      <c r="BC144" s="77"/>
      <c r="BK144" s="33"/>
    </row>
    <row r="145" spans="1:63" x14ac:dyDescent="0.25">
      <c r="C145" s="78"/>
      <c r="D145" s="19">
        <v>1960</v>
      </c>
      <c r="E145" s="19">
        <v>1961</v>
      </c>
      <c r="F145" s="19">
        <v>1962</v>
      </c>
      <c r="G145" s="19">
        <v>1963</v>
      </c>
      <c r="H145" s="19">
        <v>1964</v>
      </c>
      <c r="I145" s="19">
        <v>1965</v>
      </c>
      <c r="J145" s="19">
        <v>1966</v>
      </c>
      <c r="K145" s="19">
        <v>1967</v>
      </c>
      <c r="L145" s="19">
        <v>1968</v>
      </c>
      <c r="M145" s="19">
        <v>1969</v>
      </c>
      <c r="N145" s="19">
        <v>1970</v>
      </c>
      <c r="O145" s="19">
        <v>1971</v>
      </c>
      <c r="P145" s="19">
        <v>1972</v>
      </c>
      <c r="Q145" s="19">
        <v>1973</v>
      </c>
      <c r="R145" s="19">
        <v>1974</v>
      </c>
      <c r="S145" s="19">
        <v>1975</v>
      </c>
      <c r="T145" s="19">
        <v>1976</v>
      </c>
      <c r="U145" s="19">
        <v>1977</v>
      </c>
      <c r="V145" s="19">
        <v>1978</v>
      </c>
      <c r="W145" s="19">
        <v>1979</v>
      </c>
      <c r="X145" s="19">
        <v>1980</v>
      </c>
      <c r="Y145" s="19">
        <v>1981</v>
      </c>
      <c r="Z145" s="19">
        <v>1982</v>
      </c>
      <c r="AA145" s="19">
        <v>1983</v>
      </c>
      <c r="AB145" s="19">
        <v>1984</v>
      </c>
      <c r="AC145" s="19">
        <v>1985</v>
      </c>
      <c r="AD145" s="19">
        <v>1986</v>
      </c>
      <c r="AE145" s="19">
        <v>1987</v>
      </c>
      <c r="AF145" s="19">
        <v>1988</v>
      </c>
      <c r="AG145" s="19">
        <v>1989</v>
      </c>
      <c r="AH145" s="19">
        <v>1990</v>
      </c>
      <c r="AI145" s="19">
        <v>1991</v>
      </c>
      <c r="AJ145" s="19">
        <v>1992</v>
      </c>
      <c r="AK145" s="19">
        <v>1993</v>
      </c>
      <c r="AL145" s="19">
        <v>1994</v>
      </c>
      <c r="AM145" s="19">
        <v>1995</v>
      </c>
      <c r="AN145" s="19">
        <v>1996</v>
      </c>
      <c r="AO145" s="19">
        <v>1997</v>
      </c>
      <c r="AP145" s="19">
        <v>1998</v>
      </c>
      <c r="AQ145" s="19">
        <v>1999</v>
      </c>
      <c r="AR145" s="19">
        <v>2000</v>
      </c>
      <c r="AS145" s="19">
        <v>2001</v>
      </c>
      <c r="AT145" s="19">
        <v>2002</v>
      </c>
      <c r="AU145" s="19">
        <v>2003</v>
      </c>
      <c r="AV145" s="19">
        <v>2004</v>
      </c>
      <c r="AW145" s="19">
        <v>2005</v>
      </c>
      <c r="AX145" s="19">
        <v>2006</v>
      </c>
      <c r="AY145" s="19">
        <v>2007</v>
      </c>
      <c r="AZ145" s="19">
        <v>2008</v>
      </c>
      <c r="BA145" s="19">
        <v>2009</v>
      </c>
      <c r="BB145" s="19">
        <v>2010</v>
      </c>
      <c r="BC145" s="19">
        <v>2011</v>
      </c>
      <c r="BD145" s="19">
        <v>2012</v>
      </c>
      <c r="BE145" s="19">
        <v>2013</v>
      </c>
      <c r="BF145" s="19">
        <v>2014</v>
      </c>
      <c r="BG145" s="19">
        <v>2015</v>
      </c>
      <c r="BH145" s="19">
        <v>2016</v>
      </c>
      <c r="BI145" s="19">
        <v>2017</v>
      </c>
      <c r="BJ145" s="19">
        <v>2018</v>
      </c>
      <c r="BK145" s="33">
        <v>2019</v>
      </c>
    </row>
    <row r="146" spans="1:63" s="19" customFormat="1" x14ac:dyDescent="0.25">
      <c r="A146" s="80" t="s">
        <v>241</v>
      </c>
      <c r="B146" s="81">
        <v>282.5</v>
      </c>
      <c r="C146" s="19" t="s">
        <v>242</v>
      </c>
      <c r="H146" s="72"/>
      <c r="I146" s="72"/>
      <c r="J146" s="72"/>
      <c r="K146" s="72"/>
      <c r="L146" s="72"/>
      <c r="M146" s="72"/>
      <c r="N146" s="72"/>
      <c r="O146" s="72"/>
      <c r="P146" s="72"/>
      <c r="Q146" s="72"/>
      <c r="R146" s="72"/>
      <c r="S146" s="72"/>
      <c r="T146" s="72"/>
      <c r="U146" s="72"/>
      <c r="V146" s="72"/>
      <c r="W146" s="72"/>
      <c r="X146" s="72"/>
      <c r="Y146" s="72"/>
      <c r="Z146" s="72"/>
      <c r="AA146" s="72"/>
      <c r="AB146" s="72"/>
      <c r="AC146" s="72"/>
      <c r="AD146" s="72"/>
      <c r="AE146" s="72"/>
      <c r="AF146" s="72"/>
      <c r="AG146" s="72"/>
      <c r="AH146" s="72"/>
      <c r="AI146" s="72"/>
      <c r="AJ146" s="72"/>
      <c r="AK146" s="72"/>
      <c r="AL146" s="72"/>
      <c r="AM146" s="72"/>
      <c r="AN146" s="72"/>
      <c r="AO146" s="72"/>
      <c r="AP146" s="72"/>
      <c r="AQ146" s="72"/>
      <c r="AR146" s="72"/>
      <c r="AS146" s="72"/>
      <c r="AT146" s="72"/>
      <c r="AU146" s="72"/>
      <c r="AV146" s="72"/>
      <c r="AW146" s="72"/>
      <c r="AX146" s="72"/>
      <c r="AY146" s="72"/>
      <c r="AZ146" s="72"/>
      <c r="BA146" s="72"/>
      <c r="BB146" s="72"/>
      <c r="BC146" s="77"/>
      <c r="BK146" s="33"/>
    </row>
    <row r="147" spans="1:63" s="82" customFormat="1" x14ac:dyDescent="0.25">
      <c r="B147" s="82" t="s">
        <v>243</v>
      </c>
      <c r="C147" s="82" t="s">
        <v>244</v>
      </c>
      <c r="D147" s="83">
        <f>$B$146/D136</f>
        <v>15.337203745846956</v>
      </c>
      <c r="E147" s="83">
        <f t="shared" ref="E147:BK151" si="40">$B$146/E136</f>
        <v>15.320424466218947</v>
      </c>
      <c r="F147" s="83">
        <f t="shared" si="40"/>
        <v>15.303663543537189</v>
      </c>
      <c r="G147" s="83">
        <f t="shared" si="40"/>
        <v>15.286920957718733</v>
      </c>
      <c r="H147" s="83">
        <f t="shared" si="40"/>
        <v>15.270196688702596</v>
      </c>
      <c r="I147" s="83">
        <f t="shared" si="40"/>
        <v>15.253490716449743</v>
      </c>
      <c r="J147" s="83">
        <f t="shared" si="40"/>
        <v>15.236803020943064</v>
      </c>
      <c r="K147" s="83">
        <f t="shared" si="40"/>
        <v>15.220133582187351</v>
      </c>
      <c r="L147" s="83">
        <f t="shared" si="40"/>
        <v>15.203482380209262</v>
      </c>
      <c r="M147" s="83">
        <f t="shared" si="40"/>
        <v>15.186849395057315</v>
      </c>
      <c r="N147" s="83">
        <f t="shared" si="40"/>
        <v>15.170234606801852</v>
      </c>
      <c r="O147" s="83">
        <f t="shared" si="40"/>
        <v>15.06100961105321</v>
      </c>
      <c r="P147" s="83">
        <f t="shared" si="40"/>
        <v>15.21170062282977</v>
      </c>
      <c r="Q147" s="83">
        <f t="shared" si="40"/>
        <v>15.423162562517595</v>
      </c>
      <c r="R147" s="83">
        <f t="shared" si="40"/>
        <v>15.268663428317153</v>
      </c>
      <c r="S147" s="83">
        <f t="shared" si="40"/>
        <v>14.807102538385683</v>
      </c>
      <c r="T147" s="83">
        <f t="shared" si="40"/>
        <v>14.778004892817194</v>
      </c>
      <c r="U147" s="83">
        <f t="shared" si="40"/>
        <v>14.93656890707549</v>
      </c>
      <c r="V147" s="83">
        <f t="shared" si="40"/>
        <v>15.221116311363076</v>
      </c>
      <c r="W147" s="83">
        <f t="shared" si="40"/>
        <v>15.584091092485226</v>
      </c>
      <c r="X147" s="83">
        <f t="shared" si="40"/>
        <v>15.005083184588011</v>
      </c>
      <c r="Y147" s="83">
        <f t="shared" si="40"/>
        <v>14.364826624089375</v>
      </c>
      <c r="Z147" s="83">
        <f t="shared" si="40"/>
        <v>14.348698793286664</v>
      </c>
      <c r="AA147" s="83">
        <f t="shared" si="40"/>
        <v>14.405216170118253</v>
      </c>
      <c r="AB147" s="83">
        <f t="shared" si="40"/>
        <v>14.136454006323961</v>
      </c>
      <c r="AC147" s="83">
        <f t="shared" si="40"/>
        <v>13.925604173260968</v>
      </c>
      <c r="AD147" s="83">
        <f t="shared" si="40"/>
        <v>13.930521375563323</v>
      </c>
      <c r="AE147" s="83">
        <f t="shared" si="40"/>
        <v>13.460925804001965</v>
      </c>
      <c r="AF147" s="83">
        <f t="shared" si="40"/>
        <v>13.222463018854716</v>
      </c>
      <c r="AG147" s="83">
        <f t="shared" si="40"/>
        <v>12.575870050286744</v>
      </c>
      <c r="AH147" s="83">
        <f t="shared" si="40"/>
        <v>13.088165486223998</v>
      </c>
      <c r="AI147" s="83">
        <f t="shared" si="40"/>
        <v>13.085971748942033</v>
      </c>
      <c r="AJ147" s="83">
        <f t="shared" si="40"/>
        <v>13.299253292693436</v>
      </c>
      <c r="AK147" s="83">
        <f t="shared" si="40"/>
        <v>13.492524200437416</v>
      </c>
      <c r="AL147" s="83">
        <f t="shared" si="40"/>
        <v>13.162876500117459</v>
      </c>
      <c r="AM147" s="83">
        <f t="shared" si="40"/>
        <v>12.819666277964799</v>
      </c>
      <c r="AN147" s="83">
        <f t="shared" si="40"/>
        <v>13.061879798374457</v>
      </c>
      <c r="AO147" s="83">
        <f t="shared" si="40"/>
        <v>13.003207338056814</v>
      </c>
      <c r="AP147" s="83">
        <f t="shared" si="40"/>
        <v>12.732182556770386</v>
      </c>
      <c r="AQ147" s="83">
        <f t="shared" si="40"/>
        <v>12.769743359169217</v>
      </c>
      <c r="AR147" s="83">
        <f t="shared" si="40"/>
        <v>12.794134500972557</v>
      </c>
      <c r="AS147" s="83">
        <f t="shared" si="40"/>
        <v>12.643588381259544</v>
      </c>
      <c r="AT147" s="83">
        <f t="shared" si="40"/>
        <v>12.633744818581814</v>
      </c>
      <c r="AU147" s="83">
        <f t="shared" si="40"/>
        <v>12.498929908401958</v>
      </c>
      <c r="AV147" s="83">
        <f t="shared" si="40"/>
        <v>12.471066990514247</v>
      </c>
      <c r="AW147" s="83">
        <f t="shared" si="40"/>
        <v>12.566285002505847</v>
      </c>
      <c r="AX147" s="83">
        <f t="shared" si="40"/>
        <v>12.379798434441614</v>
      </c>
      <c r="AY147" s="83">
        <f t="shared" si="40"/>
        <v>12.432725313539651</v>
      </c>
      <c r="AZ147" s="83">
        <f t="shared" si="40"/>
        <v>12.205533953765915</v>
      </c>
      <c r="BA147" s="83">
        <f t="shared" si="40"/>
        <v>11.886709006658577</v>
      </c>
      <c r="BB147" s="83">
        <f t="shared" si="40"/>
        <v>11.677303807756861</v>
      </c>
      <c r="BC147" s="83">
        <f t="shared" si="40"/>
        <v>11.453072390331078</v>
      </c>
      <c r="BD147" s="83">
        <f t="shared" si="40"/>
        <v>11.362437253086556</v>
      </c>
      <c r="BE147" s="83">
        <f t="shared" si="40"/>
        <v>11.125531258938899</v>
      </c>
      <c r="BF147" s="83">
        <f t="shared" si="40"/>
        <v>10.863251066922968</v>
      </c>
      <c r="BG147" s="83">
        <f t="shared" si="40"/>
        <v>10.753231933314618</v>
      </c>
      <c r="BH147" s="83">
        <f t="shared" si="40"/>
        <v>10.662756948215257</v>
      </c>
      <c r="BI147" s="83">
        <f t="shared" si="40"/>
        <v>10.445518882687809</v>
      </c>
      <c r="BJ147" s="83">
        <f t="shared" si="40"/>
        <v>10.136435233109072</v>
      </c>
      <c r="BK147" s="83" t="e">
        <f t="shared" si="40"/>
        <v>#DIV/0!</v>
      </c>
    </row>
    <row r="148" spans="1:63" s="19" customFormat="1" x14ac:dyDescent="0.25">
      <c r="B148" s="19" t="s">
        <v>243</v>
      </c>
      <c r="C148" s="19" t="s">
        <v>245</v>
      </c>
      <c r="D148" s="14">
        <f>$B$146/D137</f>
        <v>12.269990115840052</v>
      </c>
      <c r="E148" s="14">
        <f t="shared" si="40"/>
        <v>12.256567857758011</v>
      </c>
      <c r="F148" s="14">
        <f t="shared" si="40"/>
        <v>12.243160282410864</v>
      </c>
      <c r="G148" s="14">
        <f t="shared" si="40"/>
        <v>12.22976737373703</v>
      </c>
      <c r="H148" s="14">
        <f t="shared" si="40"/>
        <v>12.216389115692493</v>
      </c>
      <c r="I148" s="14">
        <f t="shared" si="40"/>
        <v>12.203025492250795</v>
      </c>
      <c r="J148" s="14">
        <f t="shared" si="40"/>
        <v>12.189676487403004</v>
      </c>
      <c r="K148" s="14">
        <f t="shared" si="40"/>
        <v>12.176342085157701</v>
      </c>
      <c r="L148" s="14">
        <f t="shared" si="40"/>
        <v>12.163022269540964</v>
      </c>
      <c r="M148" s="14">
        <f t="shared" si="40"/>
        <v>12.149717024596338</v>
      </c>
      <c r="N148" s="14">
        <f t="shared" si="40"/>
        <v>12.136426334384831</v>
      </c>
      <c r="O148" s="14">
        <f t="shared" si="40"/>
        <v>12.049052276570091</v>
      </c>
      <c r="P148" s="14">
        <f t="shared" si="40"/>
        <v>12.169602357339581</v>
      </c>
      <c r="Q148" s="14">
        <f t="shared" si="40"/>
        <v>12.338788946110011</v>
      </c>
      <c r="R148" s="14">
        <f t="shared" si="40"/>
        <v>12.215185568800113</v>
      </c>
      <c r="S148" s="14">
        <f t="shared" si="40"/>
        <v>11.845941436116723</v>
      </c>
      <c r="T148" s="14">
        <f t="shared" si="40"/>
        <v>11.822655596065216</v>
      </c>
      <c r="U148" s="14">
        <f t="shared" si="40"/>
        <v>11.949521811514249</v>
      </c>
      <c r="V148" s="14">
        <f t="shared" si="40"/>
        <v>12.177148838833466</v>
      </c>
      <c r="W148" s="14">
        <f t="shared" si="40"/>
        <v>12.467530782915484</v>
      </c>
      <c r="X148" s="14">
        <f t="shared" si="40"/>
        <v>12.004316448454237</v>
      </c>
      <c r="Y148" s="14">
        <f t="shared" si="40"/>
        <v>11.492108690465768</v>
      </c>
      <c r="Z148" s="14">
        <f t="shared" si="40"/>
        <v>11.47923146656456</v>
      </c>
      <c r="AA148" s="14">
        <f t="shared" si="40"/>
        <v>11.524471470257707</v>
      </c>
      <c r="AB148" s="14">
        <f t="shared" si="40"/>
        <v>11.309495338566606</v>
      </c>
      <c r="AC148" s="14">
        <f t="shared" si="40"/>
        <v>11.140854351557675</v>
      </c>
      <c r="AD148" s="14">
        <f t="shared" si="40"/>
        <v>11.14485330261336</v>
      </c>
      <c r="AE148" s="14">
        <f t="shared" si="40"/>
        <v>10.769598789093791</v>
      </c>
      <c r="AF148" s="14">
        <f t="shared" si="40"/>
        <v>10.579060491798606</v>
      </c>
      <c r="AG148" s="14">
        <f t="shared" si="40"/>
        <v>10.062650529720376</v>
      </c>
      <c r="AH148" s="14">
        <f t="shared" si="40"/>
        <v>10.475501221004812</v>
      </c>
      <c r="AI148" s="14">
        <f t="shared" si="40"/>
        <v>10.475174305828304</v>
      </c>
      <c r="AJ148" s="14">
        <f t="shared" si="40"/>
        <v>10.649350104469205</v>
      </c>
      <c r="AK148" s="14">
        <f t="shared" si="40"/>
        <v>10.810122081251567</v>
      </c>
      <c r="AL148" s="14">
        <f t="shared" si="40"/>
        <v>10.557643191436382</v>
      </c>
      <c r="AM148" s="14">
        <f t="shared" si="40"/>
        <v>10.293004557781886</v>
      </c>
      <c r="AN148" s="14">
        <f t="shared" si="40"/>
        <v>10.495699882983859</v>
      </c>
      <c r="AO148" s="14">
        <f t="shared" si="40"/>
        <v>10.456508990524046</v>
      </c>
      <c r="AP148" s="14">
        <f t="shared" si="40"/>
        <v>10.242889706309294</v>
      </c>
      <c r="AQ148" s="14">
        <f t="shared" si="40"/>
        <v>10.281755414786085</v>
      </c>
      <c r="AR148" s="14">
        <f t="shared" si="40"/>
        <v>10.307612527582545</v>
      </c>
      <c r="AS148" s="14">
        <f t="shared" si="40"/>
        <v>10.19779160913064</v>
      </c>
      <c r="AT148" s="14">
        <f t="shared" si="40"/>
        <v>10.206470017679392</v>
      </c>
      <c r="AU148" s="14">
        <f t="shared" si="40"/>
        <v>10.119104388593835</v>
      </c>
      <c r="AV148" s="14">
        <f t="shared" si="40"/>
        <v>10.11848155486104</v>
      </c>
      <c r="AW148" s="14">
        <f t="shared" si="40"/>
        <v>10.224751364012379</v>
      </c>
      <c r="AX148" s="14">
        <f t="shared" si="40"/>
        <v>10.107972978195018</v>
      </c>
      <c r="AY148" s="14">
        <f t="shared" si="40"/>
        <v>10.182365362508135</v>
      </c>
      <c r="AZ148" s="14">
        <f t="shared" si="40"/>
        <v>10.031035527228084</v>
      </c>
      <c r="BA148" s="14">
        <f t="shared" si="40"/>
        <v>9.795787521610082</v>
      </c>
      <c r="BB148" s="14">
        <f t="shared" si="40"/>
        <v>9.6610807152911793</v>
      </c>
      <c r="BC148" s="14">
        <f t="shared" si="40"/>
        <v>9.516733686973323</v>
      </c>
      <c r="BD148" s="14">
        <f t="shared" si="40"/>
        <v>9.4874703077374196</v>
      </c>
      <c r="BE148" s="14">
        <f t="shared" si="40"/>
        <v>9.3257750525951231</v>
      </c>
      <c r="BF148" s="14">
        <f t="shared" si="40"/>
        <v>9.1319419001606121</v>
      </c>
      <c r="BG148" s="14">
        <f t="shared" si="40"/>
        <v>9.0691532405272941</v>
      </c>
      <c r="BH148" s="14">
        <f t="shared" si="40"/>
        <v>9.0189994421670505</v>
      </c>
      <c r="BI148" s="14">
        <f t="shared" si="40"/>
        <v>8.8483828241585574</v>
      </c>
      <c r="BJ148" s="14">
        <f t="shared" si="40"/>
        <v>8.5868712983500721</v>
      </c>
      <c r="BK148" s="14" t="e">
        <f t="shared" si="40"/>
        <v>#DIV/0!</v>
      </c>
    </row>
    <row r="149" spans="1:63" s="19" customFormat="1" x14ac:dyDescent="0.25">
      <c r="B149" s="19" t="s">
        <v>243</v>
      </c>
      <c r="C149" s="19" t="s">
        <v>246</v>
      </c>
      <c r="D149" s="79">
        <f t="shared" ref="D149:S152" si="41">$B$146/D138</f>
        <v>21.404454978998331</v>
      </c>
      <c r="E149" s="79">
        <f t="shared" si="41"/>
        <v>21.261567641017233</v>
      </c>
      <c r="F149" s="79">
        <f t="shared" si="41"/>
        <v>21.119634160136226</v>
      </c>
      <c r="G149" s="79">
        <f t="shared" si="41"/>
        <v>20.978648168797623</v>
      </c>
      <c r="H149" s="79">
        <f t="shared" si="41"/>
        <v>20.838603341950936</v>
      </c>
      <c r="I149" s="79">
        <f t="shared" si="41"/>
        <v>20.699493396769103</v>
      </c>
      <c r="J149" s="79">
        <f t="shared" si="41"/>
        <v>20.561312092366645</v>
      </c>
      <c r="K149" s="79">
        <f t="shared" si="41"/>
        <v>20.424053229519654</v>
      </c>
      <c r="L149" s="79">
        <f t="shared" si="41"/>
        <v>20.287710650387705</v>
      </c>
      <c r="M149" s="79">
        <f t="shared" si="41"/>
        <v>20.152278238237571</v>
      </c>
      <c r="N149" s="79">
        <f t="shared" si="41"/>
        <v>20.017749917168825</v>
      </c>
      <c r="O149" s="79">
        <f t="shared" si="41"/>
        <v>19.733832912156501</v>
      </c>
      <c r="P149" s="79">
        <f t="shared" si="41"/>
        <v>19.670941284949315</v>
      </c>
      <c r="Q149" s="79">
        <f t="shared" si="41"/>
        <v>19.841898668572515</v>
      </c>
      <c r="R149" s="79">
        <f t="shared" si="41"/>
        <v>19.708089465650577</v>
      </c>
      <c r="S149" s="79">
        <f t="shared" si="41"/>
        <v>19.089313563016091</v>
      </c>
      <c r="T149" s="79">
        <f t="shared" si="40"/>
        <v>18.941963069797971</v>
      </c>
      <c r="U149" s="79">
        <f t="shared" si="40"/>
        <v>19.154773484233825</v>
      </c>
      <c r="V149" s="79">
        <f t="shared" si="40"/>
        <v>19.206840803655059</v>
      </c>
      <c r="W149" s="79">
        <f t="shared" si="40"/>
        <v>19.559449196848135</v>
      </c>
      <c r="X149" s="79">
        <f t="shared" si="40"/>
        <v>18.72088367302425</v>
      </c>
      <c r="Y149" s="79">
        <f t="shared" si="40"/>
        <v>17.999469667776143</v>
      </c>
      <c r="Z149" s="79">
        <f t="shared" si="40"/>
        <v>18.112657880788905</v>
      </c>
      <c r="AA149" s="79">
        <f t="shared" si="40"/>
        <v>18.298915481423137</v>
      </c>
      <c r="AB149" s="79">
        <f t="shared" si="40"/>
        <v>18.261224400374001</v>
      </c>
      <c r="AC149" s="79">
        <f t="shared" si="40"/>
        <v>17.983787069519899</v>
      </c>
      <c r="AD149" s="79">
        <f t="shared" si="40"/>
        <v>18.442653760416981</v>
      </c>
      <c r="AE149" s="79">
        <f t="shared" si="40"/>
        <v>17.837609691693984</v>
      </c>
      <c r="AF149" s="79">
        <f t="shared" si="40"/>
        <v>17.740294090884863</v>
      </c>
      <c r="AG149" s="79">
        <f t="shared" si="40"/>
        <v>19.941609355660379</v>
      </c>
      <c r="AH149" s="79">
        <f t="shared" si="40"/>
        <v>19.341626829465742</v>
      </c>
      <c r="AI149" s="79">
        <f t="shared" si="40"/>
        <v>19.324692537315414</v>
      </c>
      <c r="AJ149" s="79">
        <f t="shared" si="40"/>
        <v>19.975307879318748</v>
      </c>
      <c r="AK149" s="79">
        <f t="shared" si="40"/>
        <v>20.349047618195893</v>
      </c>
      <c r="AL149" s="79">
        <f t="shared" si="40"/>
        <v>20.615136723378523</v>
      </c>
      <c r="AM149" s="79">
        <f t="shared" si="40"/>
        <v>20.247101667748808</v>
      </c>
      <c r="AN149" s="79">
        <f t="shared" si="40"/>
        <v>20.680481912862462</v>
      </c>
      <c r="AO149" s="79">
        <f t="shared" si="40"/>
        <v>20.656170536912402</v>
      </c>
      <c r="AP149" s="79">
        <f t="shared" si="40"/>
        <v>20.196813501478132</v>
      </c>
      <c r="AQ149" s="79">
        <f t="shared" si="40"/>
        <v>19.998204687675749</v>
      </c>
      <c r="AR149" s="79">
        <f t="shared" si="40"/>
        <v>19.930475556519148</v>
      </c>
      <c r="AS149" s="79">
        <f t="shared" si="40"/>
        <v>19.599659908884806</v>
      </c>
      <c r="AT149" s="79">
        <f t="shared" si="40"/>
        <v>19.524634214788453</v>
      </c>
      <c r="AU149" s="79">
        <f t="shared" si="40"/>
        <v>19.238894921967908</v>
      </c>
      <c r="AV149" s="79">
        <f t="shared" si="40"/>
        <v>18.980967977914027</v>
      </c>
      <c r="AW149" s="79">
        <f t="shared" si="40"/>
        <v>19.066458749504157</v>
      </c>
      <c r="AX149" s="79">
        <f t="shared" si="40"/>
        <v>18.845123655872772</v>
      </c>
      <c r="AY149" s="79">
        <f t="shared" si="40"/>
        <v>18.634733258731352</v>
      </c>
      <c r="AZ149" s="79">
        <f t="shared" si="40"/>
        <v>17.827804075970946</v>
      </c>
      <c r="BA149" s="79">
        <f t="shared" si="40"/>
        <v>17.995963752000335</v>
      </c>
      <c r="BB149" s="79">
        <f t="shared" si="40"/>
        <v>18.094163043353714</v>
      </c>
      <c r="BC149" s="79">
        <f t="shared" si="40"/>
        <v>17.961449004859016</v>
      </c>
      <c r="BD149" s="79">
        <f t="shared" si="40"/>
        <v>18.095542841835996</v>
      </c>
      <c r="BE149" s="79">
        <f t="shared" si="40"/>
        <v>17.672321801431565</v>
      </c>
      <c r="BF149" s="79">
        <f t="shared" si="40"/>
        <v>17.347236623508632</v>
      </c>
      <c r="BG149" s="79">
        <f t="shared" si="40"/>
        <v>17.360180904337557</v>
      </c>
      <c r="BH149" s="79">
        <f t="shared" si="40"/>
        <v>17.456611801590689</v>
      </c>
      <c r="BI149" s="79">
        <f t="shared" si="40"/>
        <v>17.106338285992123</v>
      </c>
      <c r="BJ149" s="79">
        <f t="shared" si="40"/>
        <v>16.729141266998944</v>
      </c>
      <c r="BK149" s="79" t="e">
        <f t="shared" si="40"/>
        <v>#DIV/0!</v>
      </c>
    </row>
    <row r="150" spans="1:63" s="19" customFormat="1" x14ac:dyDescent="0.25">
      <c r="B150" s="19" t="s">
        <v>243</v>
      </c>
      <c r="C150" s="19" t="s">
        <v>247</v>
      </c>
      <c r="D150" s="79">
        <f t="shared" si="41"/>
        <v>17.123563983198672</v>
      </c>
      <c r="E150" s="79">
        <f t="shared" si="40"/>
        <v>17.009254112813792</v>
      </c>
      <c r="F150" s="79">
        <f t="shared" si="40"/>
        <v>16.895707328108983</v>
      </c>
      <c r="G150" s="79">
        <f t="shared" si="40"/>
        <v>16.782918535038103</v>
      </c>
      <c r="H150" s="79">
        <f t="shared" si="40"/>
        <v>16.670882673560754</v>
      </c>
      <c r="I150" s="79">
        <f t="shared" si="40"/>
        <v>16.55959471741529</v>
      </c>
      <c r="J150" s="79">
        <f t="shared" si="40"/>
        <v>16.44904967389332</v>
      </c>
      <c r="K150" s="79">
        <f t="shared" si="40"/>
        <v>16.339242583615732</v>
      </c>
      <c r="L150" s="79">
        <f t="shared" si="40"/>
        <v>16.230168520310169</v>
      </c>
      <c r="M150" s="79">
        <f t="shared" si="40"/>
        <v>16.12182259059006</v>
      </c>
      <c r="N150" s="79">
        <f t="shared" si="40"/>
        <v>16.014199933735064</v>
      </c>
      <c r="O150" s="79">
        <f t="shared" si="40"/>
        <v>15.787066329725198</v>
      </c>
      <c r="P150" s="79">
        <f t="shared" si="40"/>
        <v>15.736753027959448</v>
      </c>
      <c r="Q150" s="79">
        <f t="shared" si="40"/>
        <v>15.87351893485801</v>
      </c>
      <c r="R150" s="79">
        <f t="shared" si="40"/>
        <v>15.766471572520457</v>
      </c>
      <c r="S150" s="79">
        <f t="shared" si="40"/>
        <v>15.271450850412871</v>
      </c>
      <c r="T150" s="79">
        <f t="shared" si="40"/>
        <v>15.153570455838377</v>
      </c>
      <c r="U150" s="79">
        <f t="shared" si="40"/>
        <v>15.323818787387067</v>
      </c>
      <c r="V150" s="79">
        <f t="shared" si="40"/>
        <v>15.365472642924049</v>
      </c>
      <c r="W150" s="79">
        <f t="shared" si="40"/>
        <v>15.647559357478508</v>
      </c>
      <c r="X150" s="79">
        <f t="shared" si="40"/>
        <v>14.976706938419401</v>
      </c>
      <c r="Y150" s="79">
        <f t="shared" si="40"/>
        <v>14.399575734220914</v>
      </c>
      <c r="Z150" s="79">
        <f t="shared" si="40"/>
        <v>14.49012630463112</v>
      </c>
      <c r="AA150" s="79">
        <f t="shared" si="40"/>
        <v>14.639132385138511</v>
      </c>
      <c r="AB150" s="79">
        <f t="shared" si="40"/>
        <v>14.608979520299199</v>
      </c>
      <c r="AC150" s="79">
        <f t="shared" si="40"/>
        <v>14.387029655615917</v>
      </c>
      <c r="AD150" s="79">
        <f t="shared" si="40"/>
        <v>14.754123008333586</v>
      </c>
      <c r="AE150" s="79">
        <f t="shared" si="40"/>
        <v>14.270087753355192</v>
      </c>
      <c r="AF150" s="79">
        <f t="shared" si="40"/>
        <v>14.192235272707894</v>
      </c>
      <c r="AG150" s="79">
        <f t="shared" si="40"/>
        <v>15.953287484528294</v>
      </c>
      <c r="AH150" s="79">
        <f t="shared" si="40"/>
        <v>15.473301463572598</v>
      </c>
      <c r="AI150" s="79">
        <f t="shared" si="40"/>
        <v>15.459754029852329</v>
      </c>
      <c r="AJ150" s="79">
        <f t="shared" si="40"/>
        <v>15.980246303454997</v>
      </c>
      <c r="AK150" s="79">
        <f t="shared" si="40"/>
        <v>16.279238094556714</v>
      </c>
      <c r="AL150" s="79">
        <f t="shared" si="40"/>
        <v>16.492109378702818</v>
      </c>
      <c r="AM150" s="79">
        <f t="shared" si="40"/>
        <v>16.197681334199039</v>
      </c>
      <c r="AN150" s="79">
        <f t="shared" si="40"/>
        <v>16.544385530289969</v>
      </c>
      <c r="AO150" s="79">
        <f t="shared" si="40"/>
        <v>16.524936429529916</v>
      </c>
      <c r="AP150" s="79">
        <f t="shared" si="40"/>
        <v>16.157450801182513</v>
      </c>
      <c r="AQ150" s="79">
        <f t="shared" si="40"/>
        <v>15.998563750140598</v>
      </c>
      <c r="AR150" s="79">
        <f t="shared" si="40"/>
        <v>15.944380445215318</v>
      </c>
      <c r="AS150" s="79">
        <f t="shared" si="40"/>
        <v>15.679727927107846</v>
      </c>
      <c r="AT150" s="79">
        <f t="shared" si="40"/>
        <v>15.619707371830753</v>
      </c>
      <c r="AU150" s="79">
        <f t="shared" si="40"/>
        <v>15.391115937574328</v>
      </c>
      <c r="AV150" s="79">
        <f t="shared" si="40"/>
        <v>15.18477438233122</v>
      </c>
      <c r="AW150" s="79">
        <f t="shared" si="40"/>
        <v>15.253166999603335</v>
      </c>
      <c r="AX150" s="79">
        <f t="shared" si="40"/>
        <v>15.076098924698224</v>
      </c>
      <c r="AY150" s="79">
        <f t="shared" si="40"/>
        <v>14.907786606985082</v>
      </c>
      <c r="AZ150" s="79">
        <f t="shared" si="40"/>
        <v>14.262243260776751</v>
      </c>
      <c r="BA150" s="79">
        <f t="shared" si="40"/>
        <v>14.396771001600271</v>
      </c>
      <c r="BB150" s="79">
        <f t="shared" si="40"/>
        <v>14.475330434682977</v>
      </c>
      <c r="BC150" s="79">
        <f t="shared" si="40"/>
        <v>14.369159203887213</v>
      </c>
      <c r="BD150" s="79">
        <f t="shared" si="40"/>
        <v>14.476434273468799</v>
      </c>
      <c r="BE150" s="79">
        <f t="shared" si="40"/>
        <v>14.137857441145252</v>
      </c>
      <c r="BF150" s="79">
        <f t="shared" si="40"/>
        <v>13.877789298806903</v>
      </c>
      <c r="BG150" s="79">
        <f t="shared" si="40"/>
        <v>13.888144723470045</v>
      </c>
      <c r="BH150" s="79">
        <f t="shared" si="40"/>
        <v>13.965289441272549</v>
      </c>
      <c r="BI150" s="79">
        <f t="shared" si="40"/>
        <v>13.685070628793699</v>
      </c>
      <c r="BJ150" s="79">
        <f t="shared" si="40"/>
        <v>13.383313013599158</v>
      </c>
      <c r="BK150" s="79" t="e">
        <f t="shared" si="40"/>
        <v>#DIV/0!</v>
      </c>
    </row>
    <row r="151" spans="1:63" s="82" customFormat="1" x14ac:dyDescent="0.25">
      <c r="B151" s="82" t="s">
        <v>243</v>
      </c>
      <c r="C151" s="82" t="s">
        <v>248</v>
      </c>
      <c r="D151" s="83">
        <f t="shared" si="41"/>
        <v>16.062054879824025</v>
      </c>
      <c r="E151" s="83">
        <f t="shared" si="41"/>
        <v>16.028644242411524</v>
      </c>
      <c r="F151" s="83">
        <f t="shared" si="41"/>
        <v>15.995303102376583</v>
      </c>
      <c r="G151" s="83">
        <f t="shared" si="41"/>
        <v>15.962031315157887</v>
      </c>
      <c r="H151" s="83">
        <f t="shared" si="41"/>
        <v>15.928828736494831</v>
      </c>
      <c r="I151" s="83">
        <f t="shared" si="41"/>
        <v>15.895695222426882</v>
      </c>
      <c r="J151" s="83">
        <f t="shared" si="41"/>
        <v>15.86263062929296</v>
      </c>
      <c r="K151" s="83">
        <f t="shared" si="41"/>
        <v>15.829634813730816</v>
      </c>
      <c r="L151" s="83">
        <f t="shared" si="41"/>
        <v>15.796707632676407</v>
      </c>
      <c r="M151" s="83">
        <f t="shared" si="41"/>
        <v>15.763848943363275</v>
      </c>
      <c r="N151" s="83">
        <f t="shared" si="41"/>
        <v>15.731058603321934</v>
      </c>
      <c r="O151" s="83">
        <f t="shared" si="41"/>
        <v>15.593617381954559</v>
      </c>
      <c r="P151" s="83">
        <f t="shared" si="41"/>
        <v>15.714414071787269</v>
      </c>
      <c r="Q151" s="83">
        <f t="shared" si="41"/>
        <v>15.920566574736794</v>
      </c>
      <c r="R151" s="83">
        <f t="shared" si="41"/>
        <v>15.784501523247876</v>
      </c>
      <c r="S151" s="83">
        <f t="shared" si="41"/>
        <v>15.297794672056954</v>
      </c>
      <c r="T151" s="83">
        <f t="shared" si="40"/>
        <v>15.246521952683423</v>
      </c>
      <c r="U151" s="83">
        <f t="shared" si="40"/>
        <v>15.408661776862827</v>
      </c>
      <c r="V151" s="83">
        <f t="shared" si="40"/>
        <v>15.663303875388586</v>
      </c>
      <c r="W151" s="83">
        <f t="shared" si="40"/>
        <v>16.024497871077642</v>
      </c>
      <c r="X151" s="83">
        <f t="shared" si="40"/>
        <v>15.406883280669019</v>
      </c>
      <c r="Y151" s="83">
        <f t="shared" si="40"/>
        <v>14.752766151016811</v>
      </c>
      <c r="Z151" s="83">
        <f t="shared" si="40"/>
        <v>14.736050594302485</v>
      </c>
      <c r="AA151" s="83">
        <f t="shared" si="40"/>
        <v>14.799651752913643</v>
      </c>
      <c r="AB151" s="83">
        <f t="shared" si="40"/>
        <v>14.554500261133862</v>
      </c>
      <c r="AC151" s="83">
        <f t="shared" si="40"/>
        <v>14.341886566327227</v>
      </c>
      <c r="AD151" s="83">
        <f t="shared" si="40"/>
        <v>14.389308889287772</v>
      </c>
      <c r="AE151" s="83">
        <f t="shared" si="40"/>
        <v>13.911548988676804</v>
      </c>
      <c r="AF151" s="83">
        <f t="shared" si="40"/>
        <v>13.701078514066257</v>
      </c>
      <c r="AG151" s="83">
        <f t="shared" si="40"/>
        <v>13.364413373481659</v>
      </c>
      <c r="AH151" s="83">
        <f t="shared" si="40"/>
        <v>13.751370278085878</v>
      </c>
      <c r="AI151" s="83">
        <f t="shared" si="40"/>
        <v>13.774602068036815</v>
      </c>
      <c r="AJ151" s="83">
        <f t="shared" si="40"/>
        <v>14.022637557916743</v>
      </c>
      <c r="AK151" s="83">
        <f t="shared" si="40"/>
        <v>14.239095874393948</v>
      </c>
      <c r="AL151" s="83">
        <f t="shared" si="40"/>
        <v>13.98769889490271</v>
      </c>
      <c r="AM151" s="83">
        <f t="shared" si="40"/>
        <v>13.648088851143306</v>
      </c>
      <c r="AN151" s="83">
        <f t="shared" si="40"/>
        <v>13.918167959980899</v>
      </c>
      <c r="AO151" s="83">
        <f t="shared" si="40"/>
        <v>13.888261085458412</v>
      </c>
      <c r="AP151" s="83">
        <f t="shared" si="40"/>
        <v>13.61924556122854</v>
      </c>
      <c r="AQ151" s="83">
        <f t="shared" si="40"/>
        <v>13.624639624722192</v>
      </c>
      <c r="AR151" s="83">
        <f t="shared" si="40"/>
        <v>13.646023709968564</v>
      </c>
      <c r="AS151" s="83">
        <f t="shared" si="40"/>
        <v>13.479021526161688</v>
      </c>
      <c r="AT151" s="83">
        <f t="shared" si="40"/>
        <v>13.457092684898379</v>
      </c>
      <c r="AU151" s="83">
        <f t="shared" si="40"/>
        <v>13.335169123340341</v>
      </c>
      <c r="AV151" s="83">
        <f t="shared" si="40"/>
        <v>13.298028823014535</v>
      </c>
      <c r="AW151" s="83">
        <f t="shared" si="40"/>
        <v>13.406618835806698</v>
      </c>
      <c r="AX151" s="83">
        <f t="shared" si="40"/>
        <v>13.226315752148537</v>
      </c>
      <c r="AY151" s="83">
        <f t="shared" si="40"/>
        <v>13.268663040680279</v>
      </c>
      <c r="AZ151" s="83">
        <f t="shared" si="40"/>
        <v>12.951788167341327</v>
      </c>
      <c r="BA151" s="83">
        <f t="shared" si="40"/>
        <v>12.682614029093692</v>
      </c>
      <c r="BB151" s="83">
        <f t="shared" ref="BB151:BK151" si="42">$B$146/BB140</f>
        <v>12.527656809709731</v>
      </c>
      <c r="BC151" s="83">
        <f t="shared" si="42"/>
        <v>12.309756890991038</v>
      </c>
      <c r="BD151" s="83">
        <f t="shared" si="42"/>
        <v>12.238840593898587</v>
      </c>
      <c r="BE151" s="83">
        <f t="shared" si="42"/>
        <v>11.991388664021107</v>
      </c>
      <c r="BF151" s="83">
        <f t="shared" si="42"/>
        <v>11.739909405174636</v>
      </c>
      <c r="BG151" s="83">
        <f t="shared" si="42"/>
        <v>11.66335247214051</v>
      </c>
      <c r="BH151" s="83">
        <f t="shared" si="42"/>
        <v>11.620710106509399</v>
      </c>
      <c r="BI151" s="83">
        <f t="shared" si="42"/>
        <v>11.391234136641849</v>
      </c>
      <c r="BJ151" s="83">
        <f t="shared" si="42"/>
        <v>11.079234492709086</v>
      </c>
      <c r="BK151" s="83" t="e">
        <f t="shared" si="42"/>
        <v>#DIV/0!</v>
      </c>
    </row>
    <row r="152" spans="1:63" s="82" customFormat="1" x14ac:dyDescent="0.25">
      <c r="B152" s="82" t="s">
        <v>243</v>
      </c>
      <c r="C152" s="82" t="s">
        <v>249</v>
      </c>
      <c r="D152" s="83">
        <f t="shared" si="41"/>
        <v>12.849881756893742</v>
      </c>
      <c r="E152" s="83">
        <f t="shared" si="41"/>
        <v>12.823154231670195</v>
      </c>
      <c r="F152" s="83">
        <f t="shared" si="41"/>
        <v>12.796482299223147</v>
      </c>
      <c r="G152" s="83">
        <f t="shared" si="41"/>
        <v>12.769865843920616</v>
      </c>
      <c r="H152" s="83">
        <f t="shared" si="41"/>
        <v>12.743304750371127</v>
      </c>
      <c r="I152" s="83">
        <f t="shared" si="41"/>
        <v>12.716798903423223</v>
      </c>
      <c r="J152" s="83">
        <f t="shared" si="41"/>
        <v>12.690348188164954</v>
      </c>
      <c r="K152" s="83">
        <f t="shared" si="41"/>
        <v>12.663952489923386</v>
      </c>
      <c r="L152" s="83">
        <f t="shared" si="41"/>
        <v>12.637611694264107</v>
      </c>
      <c r="M152" s="83">
        <f t="shared" si="41"/>
        <v>12.611325686990723</v>
      </c>
      <c r="N152" s="83">
        <f t="shared" si="41"/>
        <v>12.585094354144365</v>
      </c>
      <c r="O152" s="83">
        <f t="shared" si="41"/>
        <v>12.475147142732848</v>
      </c>
      <c r="P152" s="83">
        <f t="shared" si="41"/>
        <v>12.571781109419273</v>
      </c>
      <c r="Q152" s="83">
        <f t="shared" si="41"/>
        <v>12.736720505402289</v>
      </c>
      <c r="R152" s="83">
        <f t="shared" si="41"/>
        <v>12.627864653817422</v>
      </c>
      <c r="S152" s="83">
        <f t="shared" si="41"/>
        <v>12.238503739481901</v>
      </c>
      <c r="T152" s="83">
        <f t="shared" ref="T152:BK152" si="43">$B$146/T141</f>
        <v>12.197477223196481</v>
      </c>
      <c r="U152" s="83">
        <f t="shared" si="43"/>
        <v>12.327204536354211</v>
      </c>
      <c r="V152" s="83">
        <f t="shared" si="43"/>
        <v>12.530906320983442</v>
      </c>
      <c r="W152" s="83">
        <f t="shared" si="43"/>
        <v>12.819863494301735</v>
      </c>
      <c r="X152" s="83">
        <f t="shared" si="43"/>
        <v>12.325763217061954</v>
      </c>
      <c r="Y152" s="83">
        <f t="shared" si="43"/>
        <v>11.8024669931063</v>
      </c>
      <c r="Z152" s="83">
        <f t="shared" si="43"/>
        <v>11.789120261842056</v>
      </c>
      <c r="AA152" s="83">
        <f t="shared" si="43"/>
        <v>11.840028110789723</v>
      </c>
      <c r="AB152" s="83">
        <f t="shared" si="43"/>
        <v>11.643942164337963</v>
      </c>
      <c r="AC152" s="83">
        <f t="shared" si="43"/>
        <v>11.473891356815521</v>
      </c>
      <c r="AD152" s="83">
        <f t="shared" si="43"/>
        <v>11.511897679466264</v>
      </c>
      <c r="AE152" s="83">
        <f t="shared" si="43"/>
        <v>11.130126064459121</v>
      </c>
      <c r="AF152" s="83">
        <f t="shared" si="43"/>
        <v>10.961992345639676</v>
      </c>
      <c r="AG152" s="83">
        <f t="shared" si="43"/>
        <v>10.693607740404483</v>
      </c>
      <c r="AH152" s="83">
        <f t="shared" si="43"/>
        <v>11.006316835632996</v>
      </c>
      <c r="AI152" s="83">
        <f t="shared" si="43"/>
        <v>11.026415189057264</v>
      </c>
      <c r="AJ152" s="83">
        <f t="shared" si="43"/>
        <v>11.228598587890415</v>
      </c>
      <c r="AK152" s="83">
        <f t="shared" si="43"/>
        <v>11.408270420137846</v>
      </c>
      <c r="AL152" s="83">
        <f t="shared" si="43"/>
        <v>11.219214432370766</v>
      </c>
      <c r="AM152" s="83">
        <f t="shared" si="43"/>
        <v>10.958151148699963</v>
      </c>
      <c r="AN152" s="83">
        <f t="shared" si="43"/>
        <v>11.183758852772547</v>
      </c>
      <c r="AO152" s="83">
        <f t="shared" si="43"/>
        <v>11.168223587254056</v>
      </c>
      <c r="AP152" s="83">
        <f t="shared" si="43"/>
        <v>10.956521361895369</v>
      </c>
      <c r="AQ152" s="83">
        <f t="shared" si="43"/>
        <v>10.970088301376034</v>
      </c>
      <c r="AR152" s="83">
        <f t="shared" si="43"/>
        <v>10.993938271781349</v>
      </c>
      <c r="AS152" s="83">
        <f t="shared" si="43"/>
        <v>10.871617176538429</v>
      </c>
      <c r="AT152" s="83">
        <f t="shared" si="43"/>
        <v>10.871631094806773</v>
      </c>
      <c r="AU152" s="83">
        <f t="shared" si="43"/>
        <v>10.796121699020464</v>
      </c>
      <c r="AV152" s="83">
        <f t="shared" si="43"/>
        <v>10.78944243215348</v>
      </c>
      <c r="AW152" s="83">
        <f t="shared" si="43"/>
        <v>10.908501932024746</v>
      </c>
      <c r="AX152" s="83">
        <f t="shared" si="43"/>
        <v>10.799145311756654</v>
      </c>
      <c r="AY152" s="83">
        <f t="shared" si="43"/>
        <v>10.866995895508081</v>
      </c>
      <c r="AZ152" s="83">
        <f t="shared" si="43"/>
        <v>10.644339505331308</v>
      </c>
      <c r="BA152" s="83">
        <f t="shared" si="43"/>
        <v>10.451689544852117</v>
      </c>
      <c r="BB152" s="83">
        <f t="shared" si="43"/>
        <v>10.364610324831672</v>
      </c>
      <c r="BC152" s="83">
        <f t="shared" si="43"/>
        <v>10.22858095106827</v>
      </c>
      <c r="BD152" s="83">
        <f t="shared" si="43"/>
        <v>10.219254386131109</v>
      </c>
      <c r="BE152" s="83">
        <f t="shared" si="43"/>
        <v>10.051564338471485</v>
      </c>
      <c r="BF152" s="83">
        <f t="shared" si="43"/>
        <v>9.8688845485342096</v>
      </c>
      <c r="BG152" s="83">
        <f t="shared" si="43"/>
        <v>9.8367385288526989</v>
      </c>
      <c r="BH152" s="83">
        <f t="shared" si="43"/>
        <v>9.8292757189533457</v>
      </c>
      <c r="BI152" s="83">
        <f t="shared" si="43"/>
        <v>9.6494967471347266</v>
      </c>
      <c r="BJ152" s="83">
        <f t="shared" si="43"/>
        <v>9.3855441765550047</v>
      </c>
      <c r="BK152" s="83" t="e">
        <f t="shared" si="43"/>
        <v>#DIV/0!</v>
      </c>
    </row>
    <row r="153" spans="1:63" s="19" customFormat="1" x14ac:dyDescent="0.25">
      <c r="H153" s="72"/>
      <c r="I153" s="72"/>
      <c r="J153" s="72"/>
      <c r="K153" s="72"/>
      <c r="L153" s="72"/>
      <c r="M153" s="72"/>
      <c r="N153" s="72"/>
      <c r="O153" s="72"/>
      <c r="P153" s="72"/>
      <c r="Q153" s="72"/>
      <c r="R153" s="72"/>
      <c r="S153" s="72"/>
      <c r="T153" s="72"/>
      <c r="U153" s="72"/>
      <c r="V153" s="72"/>
      <c r="W153" s="72"/>
      <c r="X153" s="72"/>
      <c r="Y153" s="72"/>
      <c r="Z153" s="72"/>
      <c r="AA153" s="72"/>
      <c r="AB153" s="72"/>
      <c r="AC153" s="72"/>
      <c r="AD153" s="72"/>
      <c r="AE153" s="72"/>
      <c r="AF153" s="72"/>
      <c r="AG153" s="72"/>
      <c r="AH153" s="72"/>
      <c r="AI153" s="72"/>
      <c r="AJ153" s="72"/>
      <c r="AK153" s="72"/>
      <c r="AL153" s="72"/>
      <c r="AM153" s="72"/>
      <c r="AN153" s="72"/>
      <c r="AO153" s="72"/>
      <c r="AP153" s="72"/>
      <c r="AQ153" s="72"/>
      <c r="AR153" s="72"/>
      <c r="AS153" s="72"/>
      <c r="AT153" s="72"/>
      <c r="AU153" s="72"/>
      <c r="AV153" s="72"/>
      <c r="AW153" s="72"/>
      <c r="AX153" s="72"/>
      <c r="AY153" s="72"/>
      <c r="AZ153" s="72"/>
      <c r="BA153" s="72"/>
      <c r="BB153" s="72"/>
      <c r="BC153" s="77"/>
      <c r="BK153" s="33"/>
    </row>
    <row r="154" spans="1:63" s="19" customFormat="1" x14ac:dyDescent="0.25">
      <c r="H154" s="72"/>
      <c r="I154" s="72"/>
      <c r="J154" s="72"/>
      <c r="K154" s="72"/>
      <c r="L154" s="72"/>
      <c r="M154" s="72"/>
      <c r="N154" s="72"/>
      <c r="O154" s="72"/>
      <c r="P154" s="72"/>
      <c r="Q154" s="72"/>
      <c r="R154" s="72"/>
      <c r="S154" s="72"/>
      <c r="T154" s="72"/>
      <c r="U154" s="72"/>
      <c r="V154" s="72"/>
      <c r="W154" s="72"/>
      <c r="X154" s="72"/>
      <c r="Y154" s="72"/>
      <c r="Z154" s="72"/>
      <c r="AA154" s="72"/>
      <c r="AB154" s="72"/>
      <c r="AC154" s="72"/>
      <c r="AD154" s="72"/>
      <c r="AE154" s="72"/>
      <c r="AF154" s="72"/>
      <c r="AG154" s="72"/>
      <c r="AH154" s="72"/>
      <c r="AI154" s="72"/>
      <c r="AJ154" s="72"/>
      <c r="AK154" s="72"/>
      <c r="AL154" s="72"/>
      <c r="AM154" s="72"/>
      <c r="AN154" s="72"/>
      <c r="AO154" s="72"/>
      <c r="AP154" s="72"/>
      <c r="AQ154" s="72"/>
      <c r="AR154" s="72"/>
      <c r="AS154" s="72"/>
      <c r="AT154" s="72"/>
      <c r="AU154" s="72"/>
      <c r="AV154" s="72"/>
      <c r="AW154" s="72"/>
      <c r="AX154" s="72"/>
      <c r="AY154" s="72"/>
      <c r="AZ154" s="72"/>
      <c r="BA154" s="72"/>
      <c r="BB154" s="72"/>
      <c r="BC154" s="77"/>
      <c r="BK154" s="33"/>
    </row>
    <row r="155" spans="1:63" s="19" customFormat="1" x14ac:dyDescent="0.25">
      <c r="H155" s="72"/>
      <c r="I155" s="72"/>
      <c r="J155" s="72"/>
      <c r="K155" s="72"/>
      <c r="L155" s="72"/>
      <c r="M155" s="72"/>
      <c r="N155" s="72"/>
      <c r="O155" s="72"/>
      <c r="P155" s="72"/>
      <c r="Q155" s="72"/>
      <c r="R155" s="72"/>
      <c r="S155" s="72"/>
      <c r="T155" s="72"/>
      <c r="U155" s="72"/>
      <c r="V155" s="72"/>
      <c r="W155" s="72"/>
      <c r="X155" s="72"/>
      <c r="Y155" s="72"/>
      <c r="Z155" s="72"/>
      <c r="AA155" s="72"/>
      <c r="AB155" s="72"/>
      <c r="AC155" s="72"/>
      <c r="AD155" s="72"/>
      <c r="AE155" s="72"/>
      <c r="AF155" s="72"/>
      <c r="AG155" s="72"/>
      <c r="AH155" s="72"/>
      <c r="AI155" s="72"/>
      <c r="AJ155" s="72"/>
      <c r="AK155" s="72"/>
      <c r="AL155" s="72"/>
      <c r="AM155" s="72"/>
      <c r="AN155" s="72"/>
      <c r="AO155" s="72"/>
      <c r="AP155" s="72"/>
      <c r="AQ155" s="72"/>
      <c r="AR155" s="72"/>
      <c r="AS155" s="72"/>
      <c r="AT155" s="72"/>
      <c r="AU155" s="72"/>
      <c r="AV155" s="72"/>
      <c r="AW155" s="72"/>
      <c r="AX155" s="72"/>
      <c r="AY155" s="72"/>
      <c r="AZ155" s="72"/>
      <c r="BA155" s="72"/>
      <c r="BB155" s="72"/>
      <c r="BC155" s="77"/>
      <c r="BK155" s="33"/>
    </row>
    <row r="156" spans="1:63" s="19" customFormat="1" x14ac:dyDescent="0.25">
      <c r="H156" s="72"/>
      <c r="I156" s="72"/>
      <c r="J156" s="72"/>
      <c r="K156" s="72"/>
      <c r="L156" s="72"/>
      <c r="M156" s="72"/>
      <c r="N156" s="72"/>
      <c r="O156" s="72"/>
      <c r="P156" s="72"/>
      <c r="Q156" s="72"/>
      <c r="R156" s="72"/>
      <c r="S156" s="72"/>
      <c r="T156" s="72"/>
      <c r="U156" s="72"/>
      <c r="V156" s="72"/>
      <c r="W156" s="72"/>
      <c r="X156" s="72"/>
      <c r="Y156" s="72"/>
      <c r="Z156" s="72"/>
      <c r="AA156" s="72"/>
      <c r="AB156" s="72"/>
      <c r="AC156" s="72"/>
      <c r="AD156" s="72"/>
      <c r="AE156" s="72"/>
      <c r="AF156" s="72"/>
      <c r="AG156" s="72"/>
      <c r="AH156" s="72"/>
      <c r="AI156" s="72"/>
      <c r="AJ156" s="72"/>
      <c r="AK156" s="72"/>
      <c r="AL156" s="72"/>
      <c r="AM156" s="72"/>
      <c r="AN156" s="72"/>
      <c r="AO156" s="72"/>
      <c r="AP156" s="72"/>
      <c r="AQ156" s="72"/>
      <c r="AR156" s="72"/>
      <c r="AS156" s="72"/>
      <c r="AT156" s="72"/>
      <c r="AU156" s="72"/>
      <c r="AV156" s="72"/>
      <c r="AW156" s="72"/>
      <c r="AX156" s="72"/>
      <c r="AY156" s="72"/>
      <c r="AZ156" s="72"/>
      <c r="BA156" s="72"/>
      <c r="BB156" s="72"/>
      <c r="BC156" s="77"/>
      <c r="BK156" s="33"/>
    </row>
    <row r="157" spans="1:63" s="19" customFormat="1" x14ac:dyDescent="0.25">
      <c r="H157" s="72"/>
      <c r="I157" s="72"/>
      <c r="J157" s="72"/>
      <c r="K157" s="72"/>
      <c r="L157" s="72"/>
      <c r="M157" s="72"/>
      <c r="N157" s="72"/>
      <c r="O157" s="72"/>
      <c r="P157" s="72"/>
      <c r="Q157" s="72"/>
      <c r="R157" s="72"/>
      <c r="S157" s="72"/>
      <c r="T157" s="72"/>
      <c r="U157" s="72"/>
      <c r="V157" s="72"/>
      <c r="W157" s="72"/>
      <c r="X157" s="72"/>
      <c r="Y157" s="72"/>
      <c r="Z157" s="72"/>
      <c r="AA157" s="72"/>
      <c r="AB157" s="72"/>
      <c r="AC157" s="72"/>
      <c r="AD157" s="72"/>
      <c r="AE157" s="72"/>
      <c r="AF157" s="72"/>
      <c r="AG157" s="72"/>
      <c r="AH157" s="72"/>
      <c r="AI157" s="72"/>
      <c r="AJ157" s="72"/>
      <c r="AK157" s="72"/>
      <c r="AL157" s="72"/>
      <c r="AM157" s="72"/>
      <c r="AN157" s="72"/>
      <c r="AO157" s="72"/>
      <c r="AP157" s="72"/>
      <c r="AQ157" s="72"/>
      <c r="AR157" s="72"/>
      <c r="AS157" s="72"/>
      <c r="AT157" s="72"/>
      <c r="AU157" s="72"/>
      <c r="AV157" s="72"/>
      <c r="AW157" s="72"/>
      <c r="AX157" s="72"/>
      <c r="AY157" s="72"/>
      <c r="AZ157" s="72"/>
      <c r="BA157" s="72"/>
      <c r="BB157" s="72"/>
      <c r="BC157" s="77"/>
      <c r="BK157" s="33"/>
    </row>
    <row r="158" spans="1:63" s="19" customFormat="1" x14ac:dyDescent="0.25">
      <c r="H158" s="72"/>
      <c r="I158" s="72"/>
      <c r="J158" s="72"/>
      <c r="K158" s="72"/>
      <c r="L158" s="72"/>
      <c r="M158" s="72"/>
      <c r="N158" s="72"/>
      <c r="O158" s="72"/>
      <c r="P158" s="72"/>
      <c r="Q158" s="72"/>
      <c r="R158" s="72"/>
      <c r="S158" s="72"/>
      <c r="T158" s="72"/>
      <c r="U158" s="72"/>
      <c r="V158" s="72"/>
      <c r="W158" s="72"/>
      <c r="X158" s="72"/>
      <c r="Y158" s="72"/>
      <c r="Z158" s="72"/>
      <c r="AA158" s="72"/>
      <c r="AB158" s="72"/>
      <c r="AC158" s="72"/>
      <c r="AD158" s="72"/>
      <c r="AE158" s="72"/>
      <c r="AF158" s="72"/>
      <c r="AG158" s="72"/>
      <c r="AH158" s="72"/>
      <c r="AI158" s="72"/>
      <c r="AJ158" s="72"/>
      <c r="AK158" s="72"/>
      <c r="AL158" s="72"/>
      <c r="AM158" s="72"/>
      <c r="AN158" s="72"/>
      <c r="AO158" s="72"/>
      <c r="AP158" s="72"/>
      <c r="AQ158" s="72"/>
      <c r="AR158" s="72"/>
      <c r="AS158" s="72"/>
      <c r="AT158" s="72"/>
      <c r="AU158" s="72"/>
      <c r="AV158" s="72"/>
      <c r="AW158" s="72"/>
      <c r="AX158" s="72"/>
      <c r="AY158" s="72"/>
      <c r="AZ158" s="72"/>
      <c r="BA158" s="72"/>
      <c r="BB158" s="72"/>
      <c r="BC158" s="77"/>
      <c r="BK158" s="33"/>
    </row>
    <row r="159" spans="1:63" s="19" customFormat="1" x14ac:dyDescent="0.25">
      <c r="H159" s="72"/>
      <c r="I159" s="72"/>
      <c r="J159" s="72"/>
      <c r="K159" s="72"/>
      <c r="L159" s="72"/>
      <c r="M159" s="72"/>
      <c r="N159" s="72"/>
      <c r="O159" s="72"/>
      <c r="P159" s="72"/>
      <c r="Q159" s="72"/>
      <c r="R159" s="72"/>
      <c r="S159" s="72"/>
      <c r="T159" s="72"/>
      <c r="U159" s="72"/>
      <c r="V159" s="72"/>
      <c r="W159" s="72"/>
      <c r="X159" s="72"/>
      <c r="Y159" s="72"/>
      <c r="Z159" s="72"/>
      <c r="AA159" s="72"/>
      <c r="AB159" s="72"/>
      <c r="AC159" s="72"/>
      <c r="AD159" s="72"/>
      <c r="AE159" s="72"/>
      <c r="AF159" s="72"/>
      <c r="AG159" s="72"/>
      <c r="AH159" s="72"/>
      <c r="AI159" s="72"/>
      <c r="AJ159" s="72"/>
      <c r="AK159" s="72"/>
      <c r="AL159" s="72"/>
      <c r="AM159" s="72"/>
      <c r="AN159" s="72"/>
      <c r="AO159" s="72"/>
      <c r="AP159" s="72"/>
      <c r="AQ159" s="72"/>
      <c r="AR159" s="72"/>
      <c r="AS159" s="72"/>
      <c r="AT159" s="72"/>
      <c r="AU159" s="72"/>
      <c r="AV159" s="72"/>
      <c r="AW159" s="72"/>
      <c r="AX159" s="72"/>
      <c r="AY159" s="72"/>
      <c r="AZ159" s="72"/>
      <c r="BA159" s="72"/>
      <c r="BB159" s="72"/>
      <c r="BC159" s="77"/>
      <c r="BK159" s="33"/>
    </row>
    <row r="160" spans="1:63" s="19" customFormat="1" x14ac:dyDescent="0.25">
      <c r="H160" s="72"/>
      <c r="I160" s="72"/>
      <c r="J160" s="72"/>
      <c r="K160" s="72"/>
      <c r="L160" s="72"/>
      <c r="M160" s="72"/>
      <c r="N160" s="72"/>
      <c r="O160" s="72"/>
      <c r="P160" s="72"/>
      <c r="Q160" s="72"/>
      <c r="R160" s="72"/>
      <c r="S160" s="72"/>
      <c r="T160" s="72"/>
      <c r="U160" s="72"/>
      <c r="V160" s="72"/>
      <c r="W160" s="72"/>
      <c r="X160" s="72"/>
      <c r="Y160" s="72"/>
      <c r="Z160" s="72"/>
      <c r="AA160" s="72"/>
      <c r="AB160" s="72"/>
      <c r="AC160" s="72"/>
      <c r="AD160" s="72"/>
      <c r="AE160" s="72"/>
      <c r="AF160" s="72"/>
      <c r="AG160" s="72"/>
      <c r="AH160" s="72"/>
      <c r="AI160" s="72"/>
      <c r="AJ160" s="72"/>
      <c r="AK160" s="72"/>
      <c r="AL160" s="72"/>
      <c r="AM160" s="72"/>
      <c r="AN160" s="72"/>
      <c r="AO160" s="72"/>
      <c r="AP160" s="72"/>
      <c r="AQ160" s="72"/>
      <c r="AR160" s="72"/>
      <c r="AS160" s="72"/>
      <c r="AT160" s="72"/>
      <c r="AU160" s="72"/>
      <c r="AV160" s="72"/>
      <c r="AW160" s="72"/>
      <c r="AX160" s="72"/>
      <c r="AY160" s="72"/>
      <c r="AZ160" s="72"/>
      <c r="BA160" s="72"/>
      <c r="BB160" s="72"/>
      <c r="BC160" s="77"/>
      <c r="BK160" s="33"/>
    </row>
    <row r="161" spans="2:63" s="19" customFormat="1" x14ac:dyDescent="0.25">
      <c r="H161" s="72"/>
      <c r="I161" s="72"/>
      <c r="J161" s="72"/>
      <c r="K161" s="72"/>
      <c r="L161" s="72"/>
      <c r="M161" s="72"/>
      <c r="N161" s="72"/>
      <c r="O161" s="72"/>
      <c r="P161" s="72"/>
      <c r="Q161" s="72"/>
      <c r="R161" s="72"/>
      <c r="S161" s="72"/>
      <c r="T161" s="72"/>
      <c r="U161" s="72"/>
      <c r="V161" s="72"/>
      <c r="W161" s="72"/>
      <c r="X161" s="72"/>
      <c r="Y161" s="72"/>
      <c r="Z161" s="72"/>
      <c r="AA161" s="72"/>
      <c r="AB161" s="72"/>
      <c r="AC161" s="72"/>
      <c r="AD161" s="72"/>
      <c r="AE161" s="72"/>
      <c r="AF161" s="72"/>
      <c r="AG161" s="72"/>
      <c r="AH161" s="72"/>
      <c r="AI161" s="72"/>
      <c r="AJ161" s="72"/>
      <c r="AK161" s="72"/>
      <c r="AL161" s="72"/>
      <c r="AM161" s="72"/>
      <c r="AN161" s="72"/>
      <c r="AO161" s="72"/>
      <c r="AP161" s="72"/>
      <c r="AQ161" s="72"/>
      <c r="AR161" s="72"/>
      <c r="AS161" s="72"/>
      <c r="AT161" s="72"/>
      <c r="AU161" s="72"/>
      <c r="AV161" s="72"/>
      <c r="AW161" s="72"/>
      <c r="AX161" s="72"/>
      <c r="AY161" s="72"/>
      <c r="AZ161" s="72"/>
      <c r="BA161" s="72"/>
      <c r="BB161" s="72"/>
      <c r="BC161" s="77"/>
      <c r="BK161" s="33"/>
    </row>
    <row r="162" spans="2:63" s="19" customFormat="1" x14ac:dyDescent="0.25">
      <c r="H162" s="72"/>
      <c r="I162" s="72"/>
      <c r="J162" s="72"/>
      <c r="K162" s="72"/>
      <c r="L162" s="72"/>
      <c r="M162" s="72"/>
      <c r="N162" s="72"/>
      <c r="O162" s="72"/>
      <c r="P162" s="72"/>
      <c r="Q162" s="72"/>
      <c r="R162" s="72"/>
      <c r="S162" s="72"/>
      <c r="T162" s="72"/>
      <c r="U162" s="72"/>
      <c r="V162" s="72"/>
      <c r="W162" s="72"/>
      <c r="X162" s="72"/>
      <c r="Y162" s="72"/>
      <c r="Z162" s="72"/>
      <c r="AA162" s="72"/>
      <c r="AB162" s="72"/>
      <c r="AC162" s="72"/>
      <c r="AD162" s="72"/>
      <c r="AE162" s="72"/>
      <c r="AF162" s="72"/>
      <c r="AG162" s="72"/>
      <c r="AH162" s="72"/>
      <c r="AI162" s="72"/>
      <c r="AJ162" s="72"/>
      <c r="AK162" s="72"/>
      <c r="AL162" s="72"/>
      <c r="AM162" s="72"/>
      <c r="AN162" s="72"/>
      <c r="AO162" s="72"/>
      <c r="AP162" s="72"/>
      <c r="AQ162" s="72"/>
      <c r="AR162" s="72"/>
      <c r="AS162" s="72"/>
      <c r="AT162" s="72"/>
      <c r="AU162" s="72"/>
      <c r="AV162" s="72"/>
      <c r="AW162" s="72"/>
      <c r="AX162" s="72"/>
      <c r="AY162" s="72"/>
      <c r="AZ162" s="72"/>
      <c r="BA162" s="72"/>
      <c r="BB162" s="72"/>
      <c r="BC162" s="77"/>
      <c r="BK162" s="33"/>
    </row>
    <row r="163" spans="2:63" s="19" customFormat="1" x14ac:dyDescent="0.25">
      <c r="H163" s="72"/>
      <c r="I163" s="72"/>
      <c r="J163" s="72"/>
      <c r="K163" s="72"/>
      <c r="L163" s="72"/>
      <c r="M163" s="72"/>
      <c r="N163" s="72"/>
      <c r="O163" s="72"/>
      <c r="P163" s="72"/>
      <c r="Q163" s="72"/>
      <c r="R163" s="72"/>
      <c r="S163" s="72"/>
      <c r="T163" s="72"/>
      <c r="U163" s="72"/>
      <c r="V163" s="72"/>
      <c r="W163" s="72"/>
      <c r="X163" s="72"/>
      <c r="Y163" s="72"/>
      <c r="Z163" s="72"/>
      <c r="AA163" s="72"/>
      <c r="AB163" s="72"/>
      <c r="AC163" s="72"/>
      <c r="AD163" s="72"/>
      <c r="AE163" s="72"/>
      <c r="AF163" s="72"/>
      <c r="AG163" s="72"/>
      <c r="AH163" s="72"/>
      <c r="AI163" s="72"/>
      <c r="AJ163" s="72"/>
      <c r="AK163" s="72"/>
      <c r="AL163" s="72"/>
      <c r="AM163" s="72"/>
      <c r="AN163" s="72"/>
      <c r="AO163" s="72"/>
      <c r="AP163" s="72"/>
      <c r="AQ163" s="72"/>
      <c r="AR163" s="72"/>
      <c r="AS163" s="72"/>
      <c r="AT163" s="72"/>
      <c r="AU163" s="72"/>
      <c r="AV163" s="72"/>
      <c r="AW163" s="72"/>
      <c r="AX163" s="72"/>
      <c r="AY163" s="72"/>
      <c r="AZ163" s="72"/>
      <c r="BA163" s="72"/>
      <c r="BB163" s="72"/>
      <c r="BC163" s="77"/>
      <c r="BK163" s="33"/>
    </row>
    <row r="164" spans="2:63" s="19" customFormat="1" x14ac:dyDescent="0.25">
      <c r="H164" s="72"/>
      <c r="I164" s="72"/>
      <c r="J164" s="72"/>
      <c r="K164" s="72"/>
      <c r="L164" s="72"/>
      <c r="M164" s="72"/>
      <c r="N164" s="72"/>
      <c r="O164" s="72"/>
      <c r="P164" s="72"/>
      <c r="Q164" s="72"/>
      <c r="R164" s="72"/>
      <c r="S164" s="72"/>
      <c r="T164" s="72"/>
      <c r="U164" s="72"/>
      <c r="V164" s="72"/>
      <c r="W164" s="72"/>
      <c r="X164" s="72"/>
      <c r="Y164" s="72"/>
      <c r="Z164" s="72"/>
      <c r="AA164" s="72"/>
      <c r="AB164" s="72"/>
      <c r="AC164" s="72"/>
      <c r="AD164" s="72"/>
      <c r="AE164" s="72"/>
      <c r="AF164" s="72"/>
      <c r="AG164" s="72"/>
      <c r="AH164" s="72"/>
      <c r="AI164" s="72"/>
      <c r="AJ164" s="72"/>
      <c r="AK164" s="72"/>
      <c r="AL164" s="72"/>
      <c r="AM164" s="72"/>
      <c r="AN164" s="72"/>
      <c r="AO164" s="72"/>
      <c r="AP164" s="72"/>
      <c r="AQ164" s="72"/>
      <c r="AR164" s="72"/>
      <c r="AS164" s="72"/>
      <c r="AT164" s="72"/>
      <c r="AU164" s="72"/>
      <c r="AV164" s="72"/>
      <c r="AW164" s="72"/>
      <c r="AX164" s="72"/>
      <c r="AY164" s="72"/>
      <c r="AZ164" s="72"/>
      <c r="BA164" s="72"/>
      <c r="BB164" s="72"/>
      <c r="BC164" s="77"/>
      <c r="BK164" s="33"/>
    </row>
    <row r="165" spans="2:63" s="19" customFormat="1" x14ac:dyDescent="0.25">
      <c r="H165" s="72"/>
      <c r="I165" s="72"/>
      <c r="J165" s="72"/>
      <c r="K165" s="72"/>
      <c r="L165" s="72"/>
      <c r="M165" s="72"/>
      <c r="N165" s="72"/>
      <c r="O165" s="72"/>
      <c r="P165" s="72"/>
      <c r="Q165" s="72"/>
      <c r="R165" s="72"/>
      <c r="S165" s="72"/>
      <c r="T165" s="72"/>
      <c r="U165" s="72"/>
      <c r="V165" s="72"/>
      <c r="W165" s="72"/>
      <c r="X165" s="72"/>
      <c r="Y165" s="72"/>
      <c r="Z165" s="72"/>
      <c r="AA165" s="72"/>
      <c r="AB165" s="72"/>
      <c r="AC165" s="72"/>
      <c r="AD165" s="72"/>
      <c r="AE165" s="72"/>
      <c r="AF165" s="72"/>
      <c r="AG165" s="72"/>
      <c r="AH165" s="72"/>
      <c r="AI165" s="72"/>
      <c r="AJ165" s="72"/>
      <c r="AK165" s="72"/>
      <c r="AL165" s="72"/>
      <c r="AM165" s="72"/>
      <c r="AN165" s="72"/>
      <c r="AO165" s="72"/>
      <c r="AP165" s="72"/>
      <c r="AQ165" s="72"/>
      <c r="AR165" s="72"/>
      <c r="AS165" s="72"/>
      <c r="AT165" s="72"/>
      <c r="AU165" s="72"/>
      <c r="AV165" s="72"/>
      <c r="AW165" s="72"/>
      <c r="AX165" s="72"/>
      <c r="AY165" s="72"/>
      <c r="AZ165" s="72"/>
      <c r="BA165" s="72"/>
      <c r="BB165" s="72"/>
      <c r="BC165" s="77"/>
      <c r="BK165" s="33"/>
    </row>
    <row r="166" spans="2:63" s="19" customFormat="1" x14ac:dyDescent="0.25">
      <c r="H166" s="72"/>
      <c r="I166" s="72"/>
      <c r="J166" s="72"/>
      <c r="K166" s="72"/>
      <c r="L166" s="72"/>
      <c r="M166" s="72"/>
      <c r="N166" s="72"/>
      <c r="O166" s="72"/>
      <c r="P166" s="72"/>
      <c r="Q166" s="72"/>
      <c r="R166" s="72"/>
      <c r="S166" s="72"/>
      <c r="T166" s="72"/>
      <c r="U166" s="72"/>
      <c r="V166" s="72"/>
      <c r="W166" s="72"/>
      <c r="X166" s="72"/>
      <c r="Y166" s="72"/>
      <c r="Z166" s="72"/>
      <c r="AA166" s="72"/>
      <c r="AB166" s="72"/>
      <c r="AC166" s="72"/>
      <c r="AD166" s="72"/>
      <c r="AE166" s="72"/>
      <c r="AF166" s="72"/>
      <c r="AG166" s="72"/>
      <c r="AH166" s="72"/>
      <c r="AI166" s="72"/>
      <c r="AJ166" s="72"/>
      <c r="AK166" s="72"/>
      <c r="AL166" s="72"/>
      <c r="AM166" s="72"/>
      <c r="AN166" s="72"/>
      <c r="AO166" s="72"/>
      <c r="AP166" s="72"/>
      <c r="AQ166" s="72"/>
      <c r="AR166" s="72"/>
      <c r="AS166" s="72"/>
      <c r="AT166" s="72"/>
      <c r="AU166" s="72"/>
      <c r="AV166" s="72"/>
      <c r="AW166" s="72"/>
      <c r="AX166" s="72"/>
      <c r="AY166" s="72"/>
      <c r="AZ166" s="72"/>
      <c r="BA166" s="72"/>
      <c r="BB166" s="72"/>
      <c r="BC166" s="77"/>
      <c r="BK166" s="33"/>
    </row>
    <row r="167" spans="2:63" s="19" customFormat="1" x14ac:dyDescent="0.25">
      <c r="B167" s="19" t="s">
        <v>250</v>
      </c>
      <c r="D167" s="19">
        <v>1960</v>
      </c>
      <c r="E167" s="19">
        <v>1961</v>
      </c>
      <c r="F167" s="19">
        <v>1962</v>
      </c>
      <c r="G167" s="19">
        <v>1963</v>
      </c>
      <c r="H167" s="19">
        <v>1964</v>
      </c>
      <c r="I167" s="19">
        <v>1965</v>
      </c>
      <c r="J167" s="19">
        <v>1966</v>
      </c>
      <c r="K167" s="19">
        <v>1967</v>
      </c>
      <c r="L167" s="19">
        <v>1968</v>
      </c>
      <c r="M167" s="19">
        <v>1969</v>
      </c>
      <c r="N167" s="19">
        <v>1970</v>
      </c>
      <c r="O167" s="19">
        <v>1971</v>
      </c>
      <c r="P167" s="19">
        <v>1972</v>
      </c>
      <c r="Q167" s="19">
        <v>1973</v>
      </c>
      <c r="R167" s="19">
        <v>1974</v>
      </c>
      <c r="S167" s="19">
        <v>1975</v>
      </c>
      <c r="T167" s="19">
        <v>1976</v>
      </c>
      <c r="U167" s="19">
        <v>1977</v>
      </c>
      <c r="V167" s="19">
        <v>1978</v>
      </c>
      <c r="W167" s="19">
        <v>1979</v>
      </c>
      <c r="X167" s="19">
        <v>1980</v>
      </c>
      <c r="Y167" s="19">
        <v>1981</v>
      </c>
      <c r="Z167" s="19">
        <v>1982</v>
      </c>
      <c r="AA167" s="19">
        <v>1983</v>
      </c>
      <c r="AB167" s="19">
        <v>1984</v>
      </c>
      <c r="AC167" s="19">
        <v>1985</v>
      </c>
      <c r="AD167" s="19">
        <v>1986</v>
      </c>
      <c r="AE167" s="19">
        <v>1987</v>
      </c>
      <c r="AF167" s="19">
        <v>1988</v>
      </c>
      <c r="AG167" s="19">
        <v>1989</v>
      </c>
      <c r="AH167" s="19">
        <v>1990</v>
      </c>
      <c r="AI167" s="19">
        <v>1991</v>
      </c>
      <c r="AJ167" s="19">
        <v>1992</v>
      </c>
      <c r="AK167" s="19">
        <v>1993</v>
      </c>
      <c r="AL167" s="19">
        <v>1994</v>
      </c>
      <c r="AM167" s="19">
        <v>1995</v>
      </c>
      <c r="AN167" s="19">
        <v>1996</v>
      </c>
      <c r="AO167" s="19">
        <v>1997</v>
      </c>
      <c r="AP167" s="19">
        <v>1998</v>
      </c>
      <c r="AQ167" s="19">
        <v>1999</v>
      </c>
      <c r="AR167" s="19">
        <v>2000</v>
      </c>
      <c r="AS167" s="19">
        <v>2001</v>
      </c>
      <c r="AT167" s="19">
        <v>2002</v>
      </c>
      <c r="AU167" s="19">
        <v>2003</v>
      </c>
      <c r="AV167" s="19">
        <v>2004</v>
      </c>
      <c r="AW167" s="19">
        <v>2005</v>
      </c>
      <c r="AX167" s="19">
        <v>2006</v>
      </c>
      <c r="AY167" s="19">
        <v>2007</v>
      </c>
      <c r="AZ167" s="19">
        <v>2008</v>
      </c>
      <c r="BA167" s="19">
        <v>2009</v>
      </c>
      <c r="BB167" s="19">
        <v>2010</v>
      </c>
      <c r="BC167" s="19">
        <v>2011</v>
      </c>
      <c r="BD167" s="19">
        <v>2012</v>
      </c>
      <c r="BE167" s="19">
        <v>2013</v>
      </c>
      <c r="BF167" s="19">
        <v>2014</v>
      </c>
      <c r="BG167" s="19">
        <v>2015</v>
      </c>
      <c r="BH167" s="19">
        <v>2016</v>
      </c>
      <c r="BI167" s="19">
        <v>2017</v>
      </c>
      <c r="BJ167" s="19">
        <v>2018</v>
      </c>
      <c r="BK167" s="19">
        <v>2019</v>
      </c>
    </row>
    <row r="168" spans="2:63" s="19" customFormat="1" x14ac:dyDescent="0.25">
      <c r="C168" s="84" t="s">
        <v>251</v>
      </c>
      <c r="D168" s="85">
        <f>D122</f>
        <v>9.5</v>
      </c>
      <c r="E168" s="85">
        <f t="shared" ref="E168:BK168" si="44">E122</f>
        <v>9.6</v>
      </c>
      <c r="F168" s="85">
        <f t="shared" si="44"/>
        <v>9.6</v>
      </c>
      <c r="G168" s="85">
        <f t="shared" si="44"/>
        <v>9.8000000000000007</v>
      </c>
      <c r="H168" s="85">
        <f t="shared" si="44"/>
        <v>10.8</v>
      </c>
      <c r="I168" s="85">
        <f t="shared" si="44"/>
        <v>10.7</v>
      </c>
      <c r="J168" s="85">
        <f t="shared" si="44"/>
        <v>10.9</v>
      </c>
      <c r="K168" s="85">
        <f t="shared" si="44"/>
        <v>10.7</v>
      </c>
      <c r="L168" s="85">
        <f t="shared" si="44"/>
        <v>10.9</v>
      </c>
      <c r="M168" s="85">
        <f t="shared" si="44"/>
        <v>10.8</v>
      </c>
      <c r="N168" s="85">
        <f t="shared" si="44"/>
        <v>10.9</v>
      </c>
      <c r="O168" s="85">
        <f t="shared" si="44"/>
        <v>11.2</v>
      </c>
      <c r="P168" s="85">
        <f t="shared" si="44"/>
        <v>11.4</v>
      </c>
      <c r="Q168" s="85">
        <f t="shared" si="44"/>
        <v>12</v>
      </c>
      <c r="R168" s="85">
        <f t="shared" si="44"/>
        <v>11.6</v>
      </c>
      <c r="S168" s="85">
        <f t="shared" si="44"/>
        <v>11.4</v>
      </c>
      <c r="T168" s="85">
        <f t="shared" si="44"/>
        <v>11.9</v>
      </c>
      <c r="U168" s="85">
        <f t="shared" si="44"/>
        <v>11.7</v>
      </c>
      <c r="V168" s="85">
        <f t="shared" si="44"/>
        <v>12.1</v>
      </c>
      <c r="W168" s="85">
        <f t="shared" si="44"/>
        <v>12.2</v>
      </c>
      <c r="X168" s="85">
        <f t="shared" si="44"/>
        <v>12.2</v>
      </c>
      <c r="Y168" s="85">
        <f t="shared" si="44"/>
        <v>11.7</v>
      </c>
      <c r="Z168" s="85">
        <f t="shared" si="44"/>
        <v>11.4</v>
      </c>
      <c r="AA168" s="85">
        <f t="shared" si="44"/>
        <v>11.7</v>
      </c>
      <c r="AB168" s="85">
        <f t="shared" si="44"/>
        <v>12.2</v>
      </c>
      <c r="AC168" s="85">
        <f t="shared" si="44"/>
        <v>12.2</v>
      </c>
      <c r="AD168" s="85">
        <f t="shared" si="44"/>
        <v>12.5</v>
      </c>
      <c r="AE168" s="85">
        <f t="shared" si="44"/>
        <v>13.9</v>
      </c>
      <c r="AF168" s="85">
        <f t="shared" si="44"/>
        <v>14.8</v>
      </c>
      <c r="AG168" s="85">
        <f t="shared" si="44"/>
        <v>15.8</v>
      </c>
      <c r="AH168" s="85">
        <f t="shared" si="44"/>
        <v>15.5</v>
      </c>
      <c r="AI168" s="85">
        <f t="shared" si="44"/>
        <v>15.2</v>
      </c>
      <c r="AJ168" s="85">
        <f t="shared" si="44"/>
        <v>14.8</v>
      </c>
      <c r="AK168" s="85">
        <f t="shared" si="44"/>
        <v>15.1</v>
      </c>
      <c r="AL168" s="85">
        <f t="shared" si="44"/>
        <v>15.4</v>
      </c>
      <c r="AM168" s="85">
        <f t="shared" si="44"/>
        <v>15.8</v>
      </c>
      <c r="AN168" s="85">
        <f t="shared" si="44"/>
        <v>16.3</v>
      </c>
      <c r="AO168" s="85">
        <f t="shared" si="44"/>
        <v>16.7</v>
      </c>
      <c r="AP168" s="85">
        <f t="shared" si="44"/>
        <v>17.2</v>
      </c>
      <c r="AQ168" s="85">
        <f t="shared" si="44"/>
        <v>17.5</v>
      </c>
      <c r="AR168" s="85">
        <f t="shared" si="44"/>
        <v>17.5</v>
      </c>
      <c r="AS168" s="85">
        <f t="shared" si="44"/>
        <v>17.399999999999999</v>
      </c>
      <c r="AT168" s="85">
        <f t="shared" si="44"/>
        <v>17.600000000000001</v>
      </c>
      <c r="AU168" s="85">
        <f t="shared" si="44"/>
        <v>17.7</v>
      </c>
      <c r="AV168" s="85">
        <f t="shared" si="44"/>
        <v>18.2</v>
      </c>
      <c r="AW168" s="85">
        <f t="shared" si="44"/>
        <v>18</v>
      </c>
      <c r="AX168" s="85">
        <f t="shared" si="44"/>
        <v>18</v>
      </c>
      <c r="AY168" s="85">
        <f t="shared" si="44"/>
        <v>18.2</v>
      </c>
      <c r="AZ168" s="85">
        <f t="shared" si="44"/>
        <v>17.8</v>
      </c>
      <c r="BA168" s="85">
        <f t="shared" si="44"/>
        <v>16.3</v>
      </c>
      <c r="BB168" s="85">
        <f t="shared" si="44"/>
        <v>16.399999999999999</v>
      </c>
      <c r="BC168" s="85">
        <f t="shared" si="44"/>
        <v>16</v>
      </c>
      <c r="BD168" s="85">
        <f t="shared" si="44"/>
        <v>15.6</v>
      </c>
      <c r="BE168" s="85">
        <f t="shared" si="44"/>
        <v>15.8</v>
      </c>
      <c r="BF168" s="85">
        <f t="shared" si="44"/>
        <v>16.2</v>
      </c>
      <c r="BG168" s="85">
        <f t="shared" si="44"/>
        <v>16.8</v>
      </c>
      <c r="BH168" s="85">
        <f t="shared" si="44"/>
        <v>17</v>
      </c>
      <c r="BI168" s="85">
        <f t="shared" si="44"/>
        <v>17.2</v>
      </c>
      <c r="BJ168" s="85">
        <f t="shared" si="44"/>
        <v>17.3</v>
      </c>
      <c r="BK168" s="85">
        <f t="shared" si="44"/>
        <v>0</v>
      </c>
    </row>
    <row r="169" spans="2:63" s="19" customFormat="1" x14ac:dyDescent="0.25">
      <c r="C169" s="84" t="s">
        <v>252</v>
      </c>
      <c r="D169" s="85">
        <f>D124</f>
        <v>2.4</v>
      </c>
      <c r="E169" s="85">
        <f t="shared" ref="E169:BK169" si="45">E124</f>
        <v>2.5</v>
      </c>
      <c r="F169" s="85">
        <f t="shared" si="45"/>
        <v>2.5</v>
      </c>
      <c r="G169" s="85">
        <f t="shared" si="45"/>
        <v>2.5</v>
      </c>
      <c r="H169" s="85">
        <f t="shared" si="45"/>
        <v>2.5</v>
      </c>
      <c r="I169" s="85">
        <f t="shared" si="45"/>
        <v>2.4</v>
      </c>
      <c r="J169" s="85">
        <f t="shared" si="45"/>
        <v>2.4</v>
      </c>
      <c r="K169" s="85">
        <f t="shared" si="45"/>
        <v>2.4</v>
      </c>
      <c r="L169" s="85">
        <f t="shared" si="45"/>
        <v>2.4</v>
      </c>
      <c r="M169" s="85">
        <f t="shared" si="45"/>
        <v>2.4</v>
      </c>
      <c r="N169" s="85">
        <f t="shared" si="45"/>
        <v>2.2000000000000002</v>
      </c>
      <c r="O169" s="85">
        <f t="shared" si="45"/>
        <v>2.2000000000000002</v>
      </c>
      <c r="P169" s="85">
        <f t="shared" si="45"/>
        <v>2.2000000000000002</v>
      </c>
      <c r="Q169" s="85">
        <f t="shared" si="45"/>
        <v>2.2000000000000002</v>
      </c>
      <c r="R169" s="85">
        <f t="shared" si="45"/>
        <v>2.1</v>
      </c>
      <c r="S169" s="85">
        <f t="shared" si="45"/>
        <v>2</v>
      </c>
      <c r="T169" s="85">
        <f t="shared" si="45"/>
        <v>2.1</v>
      </c>
      <c r="U169" s="85">
        <f t="shared" si="45"/>
        <v>2</v>
      </c>
      <c r="V169" s="85">
        <f t="shared" si="45"/>
        <v>2.1</v>
      </c>
      <c r="W169" s="85">
        <f t="shared" si="45"/>
        <v>2.1</v>
      </c>
      <c r="X169" s="85">
        <f t="shared" si="45"/>
        <v>2.2000000000000002</v>
      </c>
      <c r="Y169" s="85">
        <f t="shared" si="45"/>
        <v>2.2000000000000002</v>
      </c>
      <c r="Z169" s="85">
        <f t="shared" si="45"/>
        <v>2.2000000000000002</v>
      </c>
      <c r="AA169" s="85">
        <f t="shared" si="45"/>
        <v>2.2999999999999998</v>
      </c>
      <c r="AB169" s="85">
        <f t="shared" si="45"/>
        <v>2.4</v>
      </c>
      <c r="AC169" s="85">
        <f t="shared" si="45"/>
        <v>2.2999999999999998</v>
      </c>
      <c r="AD169" s="85">
        <f t="shared" si="45"/>
        <v>2.2999999999999998</v>
      </c>
      <c r="AE169" s="85">
        <f t="shared" si="45"/>
        <v>2.5</v>
      </c>
      <c r="AF169" s="85">
        <f t="shared" si="45"/>
        <v>2.7</v>
      </c>
      <c r="AG169" s="85">
        <f t="shared" si="45"/>
        <v>2.8</v>
      </c>
      <c r="AH169" s="85">
        <f t="shared" si="45"/>
        <v>2.9</v>
      </c>
      <c r="AI169" s="85">
        <f t="shared" si="45"/>
        <v>3</v>
      </c>
      <c r="AJ169" s="85">
        <f t="shared" si="45"/>
        <v>2.9</v>
      </c>
      <c r="AK169" s="85">
        <f t="shared" si="45"/>
        <v>2.9</v>
      </c>
      <c r="AL169" s="85">
        <f t="shared" si="45"/>
        <v>2.9</v>
      </c>
      <c r="AM169" s="85">
        <f t="shared" si="45"/>
        <v>3</v>
      </c>
      <c r="AN169" s="85">
        <f t="shared" si="45"/>
        <v>3.1</v>
      </c>
      <c r="AO169" s="85">
        <f t="shared" si="45"/>
        <v>3.2</v>
      </c>
      <c r="AP169" s="85">
        <f t="shared" si="45"/>
        <v>3.3</v>
      </c>
      <c r="AQ169" s="85">
        <f t="shared" si="45"/>
        <v>3.3</v>
      </c>
      <c r="AR169" s="85">
        <f t="shared" si="45"/>
        <v>3.2</v>
      </c>
      <c r="AS169" s="85">
        <f t="shared" si="45"/>
        <v>3.2</v>
      </c>
      <c r="AT169" s="85">
        <f t="shared" si="45"/>
        <v>3.2</v>
      </c>
      <c r="AU169" s="85">
        <f t="shared" si="45"/>
        <v>3.3</v>
      </c>
      <c r="AV169" s="85">
        <f t="shared" si="45"/>
        <v>3.2</v>
      </c>
      <c r="AW169" s="85">
        <f t="shared" si="45"/>
        <v>3.2</v>
      </c>
      <c r="AX169" s="85">
        <f t="shared" si="45"/>
        <v>3.3</v>
      </c>
      <c r="AY169" s="85">
        <f t="shared" si="45"/>
        <v>3.4</v>
      </c>
      <c r="AZ169" s="85">
        <f t="shared" si="45"/>
        <v>3.1</v>
      </c>
      <c r="BA169" s="85">
        <f t="shared" si="45"/>
        <v>3.1</v>
      </c>
      <c r="BB169" s="85">
        <f t="shared" si="45"/>
        <v>3.2</v>
      </c>
      <c r="BC169" s="85">
        <f t="shared" si="45"/>
        <v>3</v>
      </c>
      <c r="BD169" s="85">
        <f t="shared" si="45"/>
        <v>2.8</v>
      </c>
      <c r="BE169" s="85">
        <f t="shared" si="45"/>
        <v>2.9</v>
      </c>
      <c r="BF169" s="85">
        <f t="shared" si="45"/>
        <v>2.9</v>
      </c>
      <c r="BG169" s="85">
        <f t="shared" si="45"/>
        <v>2.8</v>
      </c>
      <c r="BH169" s="85">
        <f t="shared" si="45"/>
        <v>2.6</v>
      </c>
      <c r="BI169" s="85">
        <f t="shared" si="45"/>
        <v>2.6</v>
      </c>
      <c r="BJ169" s="85">
        <f t="shared" si="45"/>
        <v>2.5</v>
      </c>
      <c r="BK169" s="85">
        <f t="shared" si="45"/>
        <v>0</v>
      </c>
    </row>
    <row r="170" spans="2:63" s="19" customFormat="1" x14ac:dyDescent="0.25">
      <c r="C170" s="84" t="s">
        <v>253</v>
      </c>
      <c r="D170" s="72">
        <f t="shared" ref="D170:M170" si="46">SUM(D168:D169)</f>
        <v>11.9</v>
      </c>
      <c r="E170" s="72">
        <f t="shared" si="46"/>
        <v>12.1</v>
      </c>
      <c r="F170" s="72">
        <f t="shared" si="46"/>
        <v>12.1</v>
      </c>
      <c r="G170" s="72">
        <f t="shared" si="46"/>
        <v>12.3</v>
      </c>
      <c r="H170" s="72">
        <f t="shared" si="46"/>
        <v>13.3</v>
      </c>
      <c r="I170" s="72">
        <f t="shared" si="46"/>
        <v>13.1</v>
      </c>
      <c r="J170" s="72">
        <f t="shared" si="46"/>
        <v>13.3</v>
      </c>
      <c r="K170" s="72">
        <f t="shared" si="46"/>
        <v>13.1</v>
      </c>
      <c r="L170" s="72">
        <f t="shared" si="46"/>
        <v>13.3</v>
      </c>
      <c r="M170" s="72">
        <f t="shared" si="46"/>
        <v>13.200000000000001</v>
      </c>
      <c r="N170" s="72">
        <f>SUM(N168:N169)</f>
        <v>13.100000000000001</v>
      </c>
      <c r="O170" s="72">
        <f>SUM(O168:O169)</f>
        <v>13.399999999999999</v>
      </c>
      <c r="P170" s="72">
        <f t="shared" ref="P170:BK170" si="47">SUM(P168:P169)</f>
        <v>13.600000000000001</v>
      </c>
      <c r="Q170" s="72">
        <f t="shared" si="47"/>
        <v>14.2</v>
      </c>
      <c r="R170" s="72">
        <f t="shared" si="47"/>
        <v>13.7</v>
      </c>
      <c r="S170" s="72">
        <f t="shared" si="47"/>
        <v>13.4</v>
      </c>
      <c r="T170" s="72">
        <f t="shared" si="47"/>
        <v>14</v>
      </c>
      <c r="U170" s="72">
        <f t="shared" si="47"/>
        <v>13.7</v>
      </c>
      <c r="V170" s="72">
        <f t="shared" si="47"/>
        <v>14.2</v>
      </c>
      <c r="W170" s="72">
        <f t="shared" si="47"/>
        <v>14.299999999999999</v>
      </c>
      <c r="X170" s="72">
        <f t="shared" si="47"/>
        <v>14.399999999999999</v>
      </c>
      <c r="Y170" s="72">
        <f t="shared" si="47"/>
        <v>13.899999999999999</v>
      </c>
      <c r="Z170" s="72">
        <f t="shared" si="47"/>
        <v>13.600000000000001</v>
      </c>
      <c r="AA170" s="72">
        <f t="shared" si="47"/>
        <v>14</v>
      </c>
      <c r="AB170" s="72">
        <f t="shared" si="47"/>
        <v>14.6</v>
      </c>
      <c r="AC170" s="72">
        <f t="shared" si="47"/>
        <v>14.5</v>
      </c>
      <c r="AD170" s="72">
        <f t="shared" si="47"/>
        <v>14.8</v>
      </c>
      <c r="AE170" s="72">
        <f t="shared" si="47"/>
        <v>16.399999999999999</v>
      </c>
      <c r="AF170" s="72">
        <f t="shared" si="47"/>
        <v>17.5</v>
      </c>
      <c r="AG170" s="72">
        <f t="shared" si="47"/>
        <v>18.600000000000001</v>
      </c>
      <c r="AH170" s="72">
        <f t="shared" si="47"/>
        <v>18.399999999999999</v>
      </c>
      <c r="AI170" s="72">
        <f t="shared" si="47"/>
        <v>18.2</v>
      </c>
      <c r="AJ170" s="72">
        <f t="shared" si="47"/>
        <v>17.7</v>
      </c>
      <c r="AK170" s="72">
        <f t="shared" si="47"/>
        <v>18</v>
      </c>
      <c r="AL170" s="72">
        <f t="shared" si="47"/>
        <v>18.3</v>
      </c>
      <c r="AM170" s="72">
        <f t="shared" si="47"/>
        <v>18.8</v>
      </c>
      <c r="AN170" s="72">
        <f t="shared" si="47"/>
        <v>19.400000000000002</v>
      </c>
      <c r="AO170" s="72">
        <f t="shared" si="47"/>
        <v>19.899999999999999</v>
      </c>
      <c r="AP170" s="72">
        <f t="shared" si="47"/>
        <v>20.5</v>
      </c>
      <c r="AQ170" s="72">
        <f t="shared" si="47"/>
        <v>20.8</v>
      </c>
      <c r="AR170" s="72">
        <f t="shared" si="47"/>
        <v>20.7</v>
      </c>
      <c r="AS170" s="72">
        <f t="shared" si="47"/>
        <v>20.599999999999998</v>
      </c>
      <c r="AT170" s="72">
        <f t="shared" si="47"/>
        <v>20.8</v>
      </c>
      <c r="AU170" s="72">
        <f t="shared" si="47"/>
        <v>21</v>
      </c>
      <c r="AV170" s="72">
        <f t="shared" si="47"/>
        <v>21.4</v>
      </c>
      <c r="AW170" s="72">
        <f t="shared" si="47"/>
        <v>21.2</v>
      </c>
      <c r="AX170" s="72">
        <f t="shared" si="47"/>
        <v>21.3</v>
      </c>
      <c r="AY170" s="72">
        <f t="shared" si="47"/>
        <v>21.599999999999998</v>
      </c>
      <c r="AZ170" s="72">
        <f t="shared" si="47"/>
        <v>20.900000000000002</v>
      </c>
      <c r="BA170" s="72">
        <f t="shared" si="47"/>
        <v>19.400000000000002</v>
      </c>
      <c r="BB170" s="72">
        <f t="shared" si="47"/>
        <v>19.599999999999998</v>
      </c>
      <c r="BC170" s="72">
        <f t="shared" si="47"/>
        <v>19</v>
      </c>
      <c r="BD170" s="72">
        <f t="shared" si="47"/>
        <v>18.399999999999999</v>
      </c>
      <c r="BE170" s="72">
        <f t="shared" si="47"/>
        <v>18.7</v>
      </c>
      <c r="BF170" s="72">
        <f t="shared" si="47"/>
        <v>19.099999999999998</v>
      </c>
      <c r="BG170" s="72">
        <f t="shared" si="47"/>
        <v>19.600000000000001</v>
      </c>
      <c r="BH170" s="72">
        <f t="shared" si="47"/>
        <v>19.600000000000001</v>
      </c>
      <c r="BI170" s="72">
        <f t="shared" si="47"/>
        <v>19.8</v>
      </c>
      <c r="BJ170" s="72">
        <f t="shared" si="47"/>
        <v>19.8</v>
      </c>
      <c r="BK170" s="72">
        <f t="shared" si="47"/>
        <v>0</v>
      </c>
    </row>
    <row r="171" spans="2:63" s="19" customFormat="1" x14ac:dyDescent="0.25">
      <c r="E171" s="86">
        <v>1</v>
      </c>
      <c r="F171" s="86" t="s">
        <v>254</v>
      </c>
      <c r="H171" s="87">
        <v>41888</v>
      </c>
      <c r="I171" s="88" t="s">
        <v>148</v>
      </c>
      <c r="J171" s="72"/>
      <c r="K171" s="89">
        <v>1</v>
      </c>
      <c r="L171" s="89" t="s">
        <v>255</v>
      </c>
      <c r="M171" s="72"/>
      <c r="N171" s="72"/>
      <c r="O171" s="72"/>
      <c r="P171" s="72"/>
      <c r="Q171" s="72"/>
      <c r="R171" s="72"/>
      <c r="S171" s="72"/>
      <c r="T171" s="72"/>
      <c r="U171" s="72"/>
      <c r="V171" s="72"/>
      <c r="W171" s="72"/>
      <c r="X171" s="72"/>
      <c r="Y171" s="72"/>
      <c r="Z171" s="72"/>
      <c r="AA171" s="72"/>
      <c r="AB171" s="72"/>
      <c r="AC171" s="72"/>
      <c r="AD171" s="72"/>
      <c r="AE171" s="72"/>
      <c r="AF171" s="72"/>
      <c r="AG171" s="72"/>
      <c r="AH171" s="72"/>
      <c r="AI171" s="72"/>
      <c r="AJ171" s="72"/>
      <c r="AK171" s="72"/>
      <c r="AL171" s="72"/>
      <c r="AM171" s="72"/>
      <c r="AN171" s="72"/>
      <c r="AO171" s="72"/>
      <c r="AP171" s="72"/>
      <c r="AQ171" s="72"/>
      <c r="AR171" s="72"/>
      <c r="AS171" s="72"/>
      <c r="AT171" s="72"/>
      <c r="AU171" s="72"/>
      <c r="AV171" s="72"/>
      <c r="AW171" s="72"/>
      <c r="AX171" s="72"/>
      <c r="AY171" s="72"/>
      <c r="AZ171" s="72"/>
      <c r="BA171" s="72"/>
      <c r="BB171" s="72"/>
      <c r="BC171" s="77"/>
      <c r="BK171" s="33"/>
    </row>
    <row r="172" spans="2:63" s="19" customFormat="1" x14ac:dyDescent="0.25">
      <c r="E172" s="86">
        <v>175.96299999999999</v>
      </c>
      <c r="F172" s="86" t="s">
        <v>148</v>
      </c>
      <c r="H172" s="87">
        <v>1</v>
      </c>
      <c r="I172" s="87" t="s">
        <v>149</v>
      </c>
      <c r="J172" s="72"/>
      <c r="K172" s="89">
        <v>282.5</v>
      </c>
      <c r="L172" s="89" t="s">
        <v>243</v>
      </c>
      <c r="M172" s="72"/>
      <c r="N172" s="72"/>
      <c r="O172" s="72"/>
      <c r="P172" s="72"/>
      <c r="Q172" s="72"/>
      <c r="R172" s="72"/>
      <c r="S172" s="72"/>
      <c r="T172" s="72"/>
      <c r="U172" s="72"/>
      <c r="V172" s="72"/>
      <c r="W172" s="72"/>
      <c r="X172" s="72"/>
      <c r="Y172" s="72"/>
      <c r="Z172" s="72"/>
      <c r="AA172" s="72"/>
      <c r="AB172" s="72"/>
      <c r="AC172" s="72"/>
      <c r="AD172" s="72"/>
      <c r="AE172" s="72"/>
      <c r="AF172" s="72"/>
      <c r="AG172" s="72"/>
      <c r="AH172" s="72"/>
      <c r="AI172" s="72"/>
      <c r="AJ172" s="72"/>
      <c r="AK172" s="72"/>
      <c r="AL172" s="72"/>
      <c r="AM172" s="72"/>
      <c r="AN172" s="72"/>
      <c r="AO172" s="72"/>
      <c r="AP172" s="72"/>
      <c r="AQ172" s="72"/>
      <c r="AR172" s="72"/>
      <c r="AS172" s="72"/>
      <c r="AT172" s="72"/>
      <c r="AU172" s="72"/>
      <c r="AV172" s="72"/>
      <c r="AW172" s="72"/>
      <c r="AX172" s="72"/>
      <c r="AY172" s="72"/>
      <c r="AZ172" s="72"/>
      <c r="BA172" s="72"/>
      <c r="BB172" s="72"/>
      <c r="BC172" s="77"/>
      <c r="BK172" s="33"/>
    </row>
    <row r="173" spans="2:63" s="19" customFormat="1" x14ac:dyDescent="0.25">
      <c r="H173" s="72"/>
      <c r="I173" s="72"/>
      <c r="K173" s="72"/>
      <c r="L173" s="72"/>
      <c r="M173" s="72"/>
      <c r="N173" s="72"/>
      <c r="O173" s="72"/>
      <c r="P173" s="72"/>
      <c r="Q173" s="72"/>
      <c r="R173" s="72"/>
      <c r="S173" s="72"/>
      <c r="T173" s="72"/>
      <c r="U173" s="72"/>
      <c r="V173" s="72"/>
      <c r="W173" s="72"/>
      <c r="X173" s="72"/>
      <c r="Y173" s="72"/>
      <c r="Z173" s="72"/>
      <c r="AA173" s="72"/>
      <c r="AB173" s="72"/>
      <c r="AC173" s="72"/>
      <c r="AD173" s="72"/>
      <c r="AE173" s="72"/>
      <c r="AF173" s="72"/>
      <c r="AG173" s="72"/>
      <c r="AH173" s="72"/>
      <c r="AI173" s="72"/>
      <c r="AJ173" s="72"/>
      <c r="AK173" s="72"/>
      <c r="AL173" s="72"/>
      <c r="AM173" s="72"/>
      <c r="AN173" s="72"/>
      <c r="AO173" s="72"/>
      <c r="AP173" s="72"/>
      <c r="AQ173" s="72"/>
      <c r="AR173" s="72"/>
      <c r="AS173" s="72"/>
      <c r="AT173" s="72"/>
      <c r="AU173" s="72"/>
      <c r="AV173" s="72"/>
      <c r="AW173" s="72"/>
      <c r="AX173" s="72"/>
      <c r="AY173" s="72"/>
      <c r="AZ173" s="72"/>
      <c r="BA173" s="72"/>
      <c r="BB173" s="72"/>
      <c r="BC173" s="77"/>
      <c r="BK173" s="33"/>
    </row>
    <row r="174" spans="2:63" s="19" customFormat="1" x14ac:dyDescent="0.25">
      <c r="B174" s="19" t="s">
        <v>250</v>
      </c>
      <c r="G174" s="80" t="s">
        <v>158</v>
      </c>
      <c r="H174" s="72">
        <f>H171/E172</f>
        <v>238.05004461165132</v>
      </c>
      <c r="I174" s="72" t="s">
        <v>256</v>
      </c>
      <c r="K174" s="72"/>
      <c r="L174" s="72"/>
      <c r="M174" s="72"/>
      <c r="N174" s="72"/>
      <c r="O174" s="72"/>
      <c r="P174" s="72"/>
      <c r="Q174" s="72"/>
      <c r="R174" s="72"/>
      <c r="S174" s="72"/>
      <c r="T174" s="72"/>
      <c r="U174" s="72"/>
      <c r="V174" s="72"/>
      <c r="W174" s="72"/>
      <c r="X174" s="72"/>
      <c r="Y174" s="72"/>
      <c r="Z174" s="72"/>
      <c r="AA174" s="72"/>
      <c r="AB174" s="72"/>
      <c r="AC174" s="72"/>
      <c r="AD174" s="72"/>
      <c r="AE174" s="72"/>
      <c r="AF174" s="72"/>
      <c r="AG174" s="72"/>
      <c r="AH174" s="72"/>
      <c r="AI174" s="72"/>
      <c r="AJ174" s="72"/>
      <c r="AK174" s="72"/>
      <c r="AL174" s="72"/>
      <c r="AM174" s="72"/>
      <c r="AN174" s="72"/>
      <c r="AO174" s="72"/>
      <c r="AP174" s="72"/>
      <c r="AQ174" s="72"/>
      <c r="AR174" s="72"/>
      <c r="AS174" s="72"/>
      <c r="AT174" s="72"/>
      <c r="AU174" s="72"/>
      <c r="AV174" s="72"/>
      <c r="AW174" s="72"/>
      <c r="AX174" s="72"/>
      <c r="AY174" s="72"/>
      <c r="AZ174" s="72"/>
      <c r="BA174" s="72"/>
      <c r="BB174" s="72"/>
      <c r="BC174" s="77"/>
      <c r="BK174" s="33"/>
    </row>
    <row r="175" spans="2:63" s="19" customFormat="1" x14ac:dyDescent="0.25">
      <c r="D175" s="19">
        <v>1960</v>
      </c>
      <c r="E175" s="19">
        <v>1961</v>
      </c>
      <c r="F175" s="19">
        <v>1962</v>
      </c>
      <c r="G175" s="19">
        <v>1963</v>
      </c>
      <c r="H175" s="19">
        <v>1964</v>
      </c>
      <c r="I175" s="19">
        <v>1965</v>
      </c>
      <c r="J175" s="19">
        <v>1966</v>
      </c>
      <c r="K175" s="19">
        <v>1967</v>
      </c>
      <c r="L175" s="19">
        <v>1968</v>
      </c>
      <c r="M175" s="19">
        <v>1969</v>
      </c>
      <c r="N175" s="19">
        <v>1970</v>
      </c>
      <c r="O175" s="19">
        <v>1971</v>
      </c>
      <c r="P175" s="19">
        <v>1972</v>
      </c>
      <c r="Q175" s="19">
        <v>1973</v>
      </c>
      <c r="R175" s="19">
        <v>1974</v>
      </c>
      <c r="S175" s="19">
        <v>1975</v>
      </c>
      <c r="T175" s="19">
        <v>1976</v>
      </c>
      <c r="U175" s="19">
        <v>1977</v>
      </c>
      <c r="V175" s="19">
        <v>1978</v>
      </c>
      <c r="W175" s="19">
        <v>1979</v>
      </c>
      <c r="X175" s="19">
        <v>1980</v>
      </c>
      <c r="Y175" s="19">
        <v>1981</v>
      </c>
      <c r="Z175" s="19">
        <v>1982</v>
      </c>
      <c r="AA175" s="19">
        <v>1983</v>
      </c>
      <c r="AB175" s="19">
        <v>1984</v>
      </c>
      <c r="AC175" s="19">
        <v>1985</v>
      </c>
      <c r="AD175" s="19">
        <v>1986</v>
      </c>
      <c r="AE175" s="19">
        <v>1987</v>
      </c>
      <c r="AF175" s="19">
        <v>1988</v>
      </c>
      <c r="AG175" s="19">
        <v>1989</v>
      </c>
      <c r="AH175" s="19">
        <v>1990</v>
      </c>
      <c r="AI175" s="19">
        <v>1991</v>
      </c>
      <c r="AJ175" s="19">
        <v>1992</v>
      </c>
      <c r="AK175" s="19">
        <v>1993</v>
      </c>
      <c r="AL175" s="19">
        <v>1994</v>
      </c>
      <c r="AM175" s="19">
        <v>1995</v>
      </c>
      <c r="AN175" s="19">
        <v>1996</v>
      </c>
      <c r="AO175" s="19">
        <v>1997</v>
      </c>
      <c r="AP175" s="19">
        <v>1998</v>
      </c>
      <c r="AQ175" s="19">
        <v>1999</v>
      </c>
      <c r="AR175" s="19">
        <v>2000</v>
      </c>
      <c r="AS175" s="19">
        <v>2001</v>
      </c>
      <c r="AT175" s="19">
        <v>2002</v>
      </c>
      <c r="AU175" s="19">
        <v>2003</v>
      </c>
      <c r="AV175" s="19">
        <v>2004</v>
      </c>
      <c r="AW175" s="19">
        <v>2005</v>
      </c>
      <c r="AX175" s="19">
        <v>2006</v>
      </c>
      <c r="AY175" s="19">
        <v>2007</v>
      </c>
      <c r="AZ175" s="19">
        <v>2008</v>
      </c>
      <c r="BA175" s="19">
        <v>2009</v>
      </c>
      <c r="BB175" s="19">
        <v>2010</v>
      </c>
      <c r="BC175" s="19">
        <v>2011</v>
      </c>
      <c r="BD175" s="19">
        <v>2012</v>
      </c>
      <c r="BE175" s="19">
        <v>2013</v>
      </c>
      <c r="BF175" s="19">
        <v>2014</v>
      </c>
      <c r="BG175" s="19">
        <v>2015</v>
      </c>
      <c r="BH175" s="19">
        <v>2016</v>
      </c>
      <c r="BI175" s="19">
        <v>2017</v>
      </c>
      <c r="BJ175" s="19">
        <v>2018</v>
      </c>
      <c r="BK175" s="19">
        <v>2019</v>
      </c>
    </row>
    <row r="176" spans="2:63" s="19" customFormat="1" x14ac:dyDescent="0.25">
      <c r="C176" s="84" t="s">
        <v>257</v>
      </c>
      <c r="D176" s="85">
        <f>D220+D233</f>
        <v>2.517257009624283</v>
      </c>
      <c r="E176" s="85">
        <f t="shared" ref="E176:BK176" si="48">E220+E233</f>
        <v>2.6927760281202877</v>
      </c>
      <c r="F176" s="85">
        <f t="shared" si="48"/>
        <v>2.8260671387674439</v>
      </c>
      <c r="G176" s="85">
        <f t="shared" si="48"/>
        <v>3.0104265977175952</v>
      </c>
      <c r="H176" s="85">
        <f t="shared" si="48"/>
        <v>3.393426272727007</v>
      </c>
      <c r="I176" s="85">
        <f t="shared" si="48"/>
        <v>3.5016697854164365</v>
      </c>
      <c r="J176" s="85">
        <f t="shared" si="48"/>
        <v>3.7282266262913937</v>
      </c>
      <c r="K176" s="85">
        <f t="shared" si="48"/>
        <v>3.8600021555944388</v>
      </c>
      <c r="L176" s="85">
        <f t="shared" si="48"/>
        <v>4.1102028176907686</v>
      </c>
      <c r="M176" s="85">
        <f t="shared" si="48"/>
        <v>4.2855513022469491</v>
      </c>
      <c r="N176" s="85">
        <f t="shared" si="48"/>
        <v>4.4428225384616349</v>
      </c>
      <c r="O176" s="85">
        <f t="shared" si="48"/>
        <v>4.5672577283943721</v>
      </c>
      <c r="P176" s="85">
        <f t="shared" si="48"/>
        <v>4.6018624281001284</v>
      </c>
      <c r="Q176" s="85">
        <f t="shared" si="48"/>
        <v>4.9409387839856045</v>
      </c>
      <c r="R176" s="85">
        <f t="shared" si="48"/>
        <v>4.7960584632030345</v>
      </c>
      <c r="S176" s="85">
        <f t="shared" si="48"/>
        <v>4.7188282682675284</v>
      </c>
      <c r="T176" s="85">
        <f t="shared" si="48"/>
        <v>4.8902342571154227</v>
      </c>
      <c r="U176" s="85">
        <f t="shared" si="48"/>
        <v>4.9676597314157478</v>
      </c>
      <c r="V176" s="85">
        <f t="shared" si="48"/>
        <v>5.1109170738104934</v>
      </c>
      <c r="W176" s="85">
        <f t="shared" si="48"/>
        <v>5.2804526495801412</v>
      </c>
      <c r="X176" s="85">
        <f t="shared" si="48"/>
        <v>5.0887109525039289</v>
      </c>
      <c r="Y176" s="85">
        <f t="shared" si="48"/>
        <v>4.7947344770564886</v>
      </c>
      <c r="Z176" s="85">
        <f t="shared" si="48"/>
        <v>4.9406268488503029</v>
      </c>
      <c r="AA176" s="85">
        <f t="shared" si="48"/>
        <v>5.3582874218859713</v>
      </c>
      <c r="AB176" s="85">
        <f t="shared" si="48"/>
        <v>5.8632838987961922</v>
      </c>
      <c r="AC176" s="85">
        <f t="shared" si="48"/>
        <v>6.1565024808781859</v>
      </c>
      <c r="AD176" s="85">
        <f t="shared" si="48"/>
        <v>6.8182901509833815</v>
      </c>
      <c r="AE176" s="85">
        <f t="shared" si="48"/>
        <v>7.2609806288074106</v>
      </c>
      <c r="AF176" s="85">
        <f t="shared" si="48"/>
        <v>7.9029380712117305</v>
      </c>
      <c r="AG176" s="85">
        <f t="shared" si="48"/>
        <v>8.0340336278953366</v>
      </c>
      <c r="AH176" s="85">
        <f t="shared" si="48"/>
        <v>8.013432870053034</v>
      </c>
      <c r="AI176" s="85">
        <f t="shared" si="48"/>
        <v>7.7411338776702552</v>
      </c>
      <c r="AJ176" s="85">
        <f t="shared" si="48"/>
        <v>7.6943264781929095</v>
      </c>
      <c r="AK176" s="85">
        <f t="shared" si="48"/>
        <v>7.7783028035276454</v>
      </c>
      <c r="AL176" s="85">
        <f t="shared" si="48"/>
        <v>7.9955007816964105</v>
      </c>
      <c r="AM176" s="85">
        <f t="shared" si="48"/>
        <v>7.9225984007338823</v>
      </c>
      <c r="AN176" s="85">
        <f t="shared" si="48"/>
        <v>8.1275133720794805</v>
      </c>
      <c r="AO176" s="85">
        <f t="shared" si="48"/>
        <v>8.1466818421134803</v>
      </c>
      <c r="AP176" s="85">
        <f t="shared" si="48"/>
        <v>8.0345623916000619</v>
      </c>
      <c r="AQ176" s="85">
        <f t="shared" si="48"/>
        <v>7.8710347259147255</v>
      </c>
      <c r="AR176" s="85">
        <f t="shared" si="48"/>
        <v>7.6750567371725538</v>
      </c>
      <c r="AS176" s="85">
        <f t="shared" si="48"/>
        <v>7.631678091965032</v>
      </c>
      <c r="AT176" s="85">
        <f t="shared" si="48"/>
        <v>7.7809962286156313</v>
      </c>
      <c r="AU176" s="85">
        <f t="shared" si="48"/>
        <v>7.8887782205758938</v>
      </c>
      <c r="AV176" s="85">
        <f t="shared" si="48"/>
        <v>7.9378886992705828</v>
      </c>
      <c r="AW176" s="85">
        <f t="shared" si="48"/>
        <v>8.0088972274782506</v>
      </c>
      <c r="AX176" s="85">
        <f t="shared" si="48"/>
        <v>8.039272151437407</v>
      </c>
      <c r="AY176" s="85">
        <f t="shared" si="48"/>
        <v>8.1240185865225101</v>
      </c>
      <c r="AZ176" s="85">
        <f t="shared" si="48"/>
        <v>7.4882146404605834</v>
      </c>
      <c r="BA176" s="85">
        <f t="shared" si="48"/>
        <v>6.9903143811419426</v>
      </c>
      <c r="BB176" s="85">
        <f t="shared" si="48"/>
        <v>7.1846352428023401</v>
      </c>
      <c r="BC176" s="85">
        <f t="shared" si="48"/>
        <v>6.9262987122900324</v>
      </c>
      <c r="BD176" s="85">
        <f t="shared" si="48"/>
        <v>6.8808832679017113</v>
      </c>
      <c r="BE176" s="85">
        <f t="shared" si="48"/>
        <v>6.9176842785957504</v>
      </c>
      <c r="BF176" s="85">
        <f t="shared" si="48"/>
        <v>7.066595642486023</v>
      </c>
      <c r="BG176" s="85">
        <f t="shared" si="48"/>
        <v>7.3377498066015399</v>
      </c>
      <c r="BH176" s="85">
        <f t="shared" si="48"/>
        <v>7.4933078905833952</v>
      </c>
      <c r="BI176" s="85">
        <f t="shared" si="48"/>
        <v>7.5144080614845334</v>
      </c>
      <c r="BJ176" s="85">
        <f t="shared" si="48"/>
        <v>7.4363795703634459</v>
      </c>
      <c r="BK176" s="85">
        <f t="shared" si="48"/>
        <v>7.4090518746520502</v>
      </c>
    </row>
    <row r="177" spans="1:63" s="19" customFormat="1" x14ac:dyDescent="0.25">
      <c r="C177" s="80" t="s">
        <v>258</v>
      </c>
      <c r="D177" s="85">
        <f>D176*$H$174</f>
        <v>599.23314344005257</v>
      </c>
      <c r="E177" s="85">
        <f t="shared" ref="E177:BK177" si="49">E176*$H$174</f>
        <v>641.01545362321974</v>
      </c>
      <c r="F177" s="85">
        <f t="shared" si="49"/>
        <v>672.74540845911179</v>
      </c>
      <c r="G177" s="85">
        <f t="shared" si="49"/>
        <v>716.63218588677523</v>
      </c>
      <c r="H177" s="85">
        <f t="shared" si="49"/>
        <v>807.80527560901362</v>
      </c>
      <c r="I177" s="85">
        <f t="shared" si="49"/>
        <v>833.57264863365424</v>
      </c>
      <c r="J177" s="85">
        <f t="shared" si="49"/>
        <v>887.50451471101258</v>
      </c>
      <c r="K177" s="85">
        <f t="shared" si="49"/>
        <v>918.87368534032646</v>
      </c>
      <c r="L177" s="85">
        <f t="shared" si="49"/>
        <v>978.43396411422236</v>
      </c>
      <c r="M177" s="85">
        <f t="shared" si="49"/>
        <v>1020.1756786854066</v>
      </c>
      <c r="N177" s="85">
        <f t="shared" si="49"/>
        <v>1057.614103482442</v>
      </c>
      <c r="O177" s="85">
        <f t="shared" si="49"/>
        <v>1087.2359059971895</v>
      </c>
      <c r="P177" s="85">
        <f t="shared" si="49"/>
        <v>1095.4735563059176</v>
      </c>
      <c r="Q177" s="85">
        <f t="shared" si="49"/>
        <v>1176.1906979512114</v>
      </c>
      <c r="R177" s="85">
        <f t="shared" si="49"/>
        <v>1141.7019311255701</v>
      </c>
      <c r="S177" s="85">
        <f t="shared" si="49"/>
        <v>1123.3172797758064</v>
      </c>
      <c r="T177" s="85">
        <f t="shared" si="49"/>
        <v>1164.1204830677518</v>
      </c>
      <c r="U177" s="85">
        <f t="shared" si="49"/>
        <v>1182.5516206790226</v>
      </c>
      <c r="V177" s="85">
        <f t="shared" si="49"/>
        <v>1216.6540374270385</v>
      </c>
      <c r="W177" s="85">
        <f t="shared" si="49"/>
        <v>1257.011988802265</v>
      </c>
      <c r="X177" s="85">
        <f t="shared" si="49"/>
        <v>1211.3678692593589</v>
      </c>
      <c r="Y177" s="85">
        <f t="shared" si="49"/>
        <v>1141.3867561643196</v>
      </c>
      <c r="Z177" s="85">
        <f t="shared" si="49"/>
        <v>1176.1164417783368</v>
      </c>
      <c r="AA177" s="85">
        <f t="shared" si="49"/>
        <v>1275.5405598220057</v>
      </c>
      <c r="AB177" s="85">
        <f t="shared" si="49"/>
        <v>1395.7549936792104</v>
      </c>
      <c r="AC177" s="85">
        <f t="shared" si="49"/>
        <v>1465.555690224794</v>
      </c>
      <c r="AD177" s="85">
        <f t="shared" si="49"/>
        <v>1623.0942746167768</v>
      </c>
      <c r="AE177" s="85">
        <f t="shared" si="49"/>
        <v>1728.4767626119401</v>
      </c>
      <c r="AF177" s="85">
        <f t="shared" si="49"/>
        <v>1881.29476041507</v>
      </c>
      <c r="AG177" s="85">
        <f t="shared" si="49"/>
        <v>1912.5020635319918</v>
      </c>
      <c r="AH177" s="85">
        <f t="shared" si="49"/>
        <v>1907.5980522085977</v>
      </c>
      <c r="AI177" s="85">
        <f t="shared" si="49"/>
        <v>1842.7772649241697</v>
      </c>
      <c r="AJ177" s="85">
        <f t="shared" si="49"/>
        <v>1831.634761390432</v>
      </c>
      <c r="AK177" s="85">
        <f t="shared" si="49"/>
        <v>1851.6253293826885</v>
      </c>
      <c r="AL177" s="85">
        <f t="shared" si="49"/>
        <v>1903.3293177753235</v>
      </c>
      <c r="AM177" s="85">
        <f t="shared" si="49"/>
        <v>1885.974902734898</v>
      </c>
      <c r="AN177" s="85">
        <f t="shared" si="49"/>
        <v>1934.7549208053131</v>
      </c>
      <c r="AO177" s="85">
        <f t="shared" si="49"/>
        <v>1939.3179759520438</v>
      </c>
      <c r="AP177" s="85">
        <f t="shared" si="49"/>
        <v>1912.6279357554906</v>
      </c>
      <c r="AQ177" s="85">
        <f t="shared" si="49"/>
        <v>1873.7001676438572</v>
      </c>
      <c r="AR177" s="85">
        <f t="shared" si="49"/>
        <v>1827.0475986808815</v>
      </c>
      <c r="AS177" s="85">
        <f t="shared" si="49"/>
        <v>1816.7213102540379</v>
      </c>
      <c r="AT177" s="85">
        <f t="shared" si="49"/>
        <v>1852.2664993450417</v>
      </c>
      <c r="AU177" s="85">
        <f t="shared" si="49"/>
        <v>1877.9240073395149</v>
      </c>
      <c r="AV177" s="85">
        <f t="shared" si="49"/>
        <v>1889.6147589836851</v>
      </c>
      <c r="AW177" s="85">
        <f t="shared" si="49"/>
        <v>1906.5183422913281</v>
      </c>
      <c r="AX177" s="85">
        <f t="shared" si="49"/>
        <v>1913.7490942948807</v>
      </c>
      <c r="AY177" s="85">
        <f t="shared" si="49"/>
        <v>1933.922986947568</v>
      </c>
      <c r="AZ177" s="85">
        <f t="shared" si="49"/>
        <v>1782.5698292232623</v>
      </c>
      <c r="BA177" s="85">
        <f t="shared" si="49"/>
        <v>1664.0446502803072</v>
      </c>
      <c r="BB177" s="85">
        <f t="shared" si="49"/>
        <v>1710.3027400675394</v>
      </c>
      <c r="BC177" s="85">
        <f t="shared" si="49"/>
        <v>1648.8057174542653</v>
      </c>
      <c r="BD177" s="85">
        <f t="shared" si="49"/>
        <v>1637.9945688915675</v>
      </c>
      <c r="BE177" s="85">
        <f t="shared" si="49"/>
        <v>1646.7550511290374</v>
      </c>
      <c r="BF177" s="85">
        <f t="shared" si="49"/>
        <v>1682.2034079462985</v>
      </c>
      <c r="BG177" s="85">
        <f t="shared" si="49"/>
        <v>1746.7516688106323</v>
      </c>
      <c r="BH177" s="85">
        <f t="shared" si="49"/>
        <v>1783.7822776422161</v>
      </c>
      <c r="BI177" s="85">
        <f t="shared" si="49"/>
        <v>1788.8051742665455</v>
      </c>
      <c r="BJ177" s="85">
        <f t="shared" si="49"/>
        <v>1770.2304884741907</v>
      </c>
      <c r="BK177" s="85">
        <f t="shared" si="49"/>
        <v>1763.7251292909593</v>
      </c>
    </row>
    <row r="178" spans="1:63" s="82" customFormat="1" x14ac:dyDescent="0.25">
      <c r="C178" s="90" t="s">
        <v>255</v>
      </c>
      <c r="D178" s="91">
        <f t="shared" ref="D178:M178" si="50">D170*1000/D177</f>
        <v>19.858714642659745</v>
      </c>
      <c r="E178" s="91">
        <f t="shared" si="50"/>
        <v>18.876299988724167</v>
      </c>
      <c r="F178" s="91">
        <f t="shared" si="50"/>
        <v>17.986001610496931</v>
      </c>
      <c r="G178" s="91">
        <f t="shared" si="50"/>
        <v>17.163616485882127</v>
      </c>
      <c r="H178" s="91">
        <f t="shared" si="50"/>
        <v>16.464363877758757</v>
      </c>
      <c r="I178" s="91">
        <f t="shared" si="50"/>
        <v>15.715486852253116</v>
      </c>
      <c r="J178" s="91">
        <f t="shared" si="50"/>
        <v>14.985839260018546</v>
      </c>
      <c r="K178" s="91">
        <f t="shared" si="50"/>
        <v>14.256584130111536</v>
      </c>
      <c r="L178" s="91">
        <f t="shared" si="50"/>
        <v>13.5931503686511</v>
      </c>
      <c r="M178" s="91">
        <f t="shared" si="50"/>
        <v>12.938947943759507</v>
      </c>
      <c r="N178" s="91">
        <f>N170*1000/N177</f>
        <v>12.386370375418771</v>
      </c>
      <c r="O178" s="91">
        <f>O170*1000/O177</f>
        <v>12.324832105052495</v>
      </c>
      <c r="P178" s="91">
        <f t="shared" ref="P178:BJ178" si="51">P170*1000/P177</f>
        <v>12.414722310469099</v>
      </c>
      <c r="Q178" s="91">
        <f t="shared" si="51"/>
        <v>12.072872217689499</v>
      </c>
      <c r="R178" s="91">
        <f t="shared" si="51"/>
        <v>11.999629348523197</v>
      </c>
      <c r="S178" s="91">
        <f t="shared" si="51"/>
        <v>11.928953859478058</v>
      </c>
      <c r="T178" s="91">
        <f t="shared" si="51"/>
        <v>12.026246598725297</v>
      </c>
      <c r="U178" s="91">
        <f t="shared" si="51"/>
        <v>11.585117943632298</v>
      </c>
      <c r="V178" s="91">
        <f t="shared" si="51"/>
        <v>11.671354027665863</v>
      </c>
      <c r="W178" s="91">
        <f t="shared" si="51"/>
        <v>11.376184258692435</v>
      </c>
      <c r="X178" s="91">
        <f t="shared" si="51"/>
        <v>11.887388105154454</v>
      </c>
      <c r="Y178" s="91">
        <f t="shared" si="51"/>
        <v>12.178168289521388</v>
      </c>
      <c r="Z178" s="91">
        <f t="shared" si="51"/>
        <v>11.563480890919472</v>
      </c>
      <c r="AA178" s="91">
        <f t="shared" si="51"/>
        <v>10.975738789485158</v>
      </c>
      <c r="AB178" s="91">
        <f t="shared" si="51"/>
        <v>10.460288565054242</v>
      </c>
      <c r="AC178" s="91">
        <f t="shared" si="51"/>
        <v>9.8938580749366949</v>
      </c>
      <c r="AD178" s="91">
        <f t="shared" si="51"/>
        <v>9.1183859320151797</v>
      </c>
      <c r="AE178" s="91">
        <f t="shared" si="51"/>
        <v>9.4881229269276322</v>
      </c>
      <c r="AF178" s="91">
        <f t="shared" si="51"/>
        <v>9.3021042572504573</v>
      </c>
      <c r="AG178" s="91">
        <f t="shared" si="51"/>
        <v>9.7254797025681032</v>
      </c>
      <c r="AH178" s="91">
        <f t="shared" si="51"/>
        <v>9.6456378631214612</v>
      </c>
      <c r="AI178" s="91">
        <f t="shared" si="51"/>
        <v>9.8763970808750621</v>
      </c>
      <c r="AJ178" s="91">
        <f t="shared" si="51"/>
        <v>9.6634986259834701</v>
      </c>
      <c r="AK178" s="91">
        <f t="shared" si="51"/>
        <v>9.7211891165914235</v>
      </c>
      <c r="AL178" s="91">
        <f t="shared" si="51"/>
        <v>9.6147313179569291</v>
      </c>
      <c r="AM178" s="91">
        <f t="shared" si="51"/>
        <v>9.9683192882034977</v>
      </c>
      <c r="AN178" s="91">
        <f t="shared" si="51"/>
        <v>10.02710978604207</v>
      </c>
      <c r="AO178" s="91">
        <f t="shared" si="51"/>
        <v>10.261339422809586</v>
      </c>
      <c r="AP178" s="91">
        <f t="shared" si="51"/>
        <v>10.718237257107965</v>
      </c>
      <c r="AQ178" s="91">
        <f t="shared" si="51"/>
        <v>11.101029054267316</v>
      </c>
      <c r="AR178" s="91">
        <f t="shared" si="51"/>
        <v>11.32975408793142</v>
      </c>
      <c r="AS178" s="91">
        <f t="shared" si="51"/>
        <v>11.33910847179936</v>
      </c>
      <c r="AT178" s="91">
        <f t="shared" si="51"/>
        <v>11.229485609848716</v>
      </c>
      <c r="AU178" s="91">
        <f t="shared" si="51"/>
        <v>11.182561124904643</v>
      </c>
      <c r="AV178" s="91">
        <f t="shared" si="51"/>
        <v>11.325059723554354</v>
      </c>
      <c r="AW178" s="91">
        <f t="shared" si="51"/>
        <v>11.119746151784206</v>
      </c>
      <c r="AX178" s="91">
        <f t="shared" si="51"/>
        <v>11.129985672363162</v>
      </c>
      <c r="AY178" s="91">
        <f t="shared" si="51"/>
        <v>11.169007321275307</v>
      </c>
      <c r="AZ178" s="91">
        <f t="shared" si="51"/>
        <v>11.724645877747733</v>
      </c>
      <c r="BA178" s="91">
        <f t="shared" si="51"/>
        <v>11.65834101671015</v>
      </c>
      <c r="BB178" s="91">
        <f t="shared" si="51"/>
        <v>11.459959421702147</v>
      </c>
      <c r="BC178" s="91">
        <f t="shared" si="51"/>
        <v>11.523492306501554</v>
      </c>
      <c r="BD178" s="91">
        <f t="shared" si="51"/>
        <v>11.233248479237204</v>
      </c>
      <c r="BE178" s="91">
        <f t="shared" si="51"/>
        <v>11.355665790840616</v>
      </c>
      <c r="BF178" s="91">
        <f t="shared" si="51"/>
        <v>11.35415604901077</v>
      </c>
      <c r="BG178" s="91">
        <f t="shared" si="51"/>
        <v>11.22082798028508</v>
      </c>
      <c r="BH178" s="91">
        <f t="shared" si="51"/>
        <v>10.987888065525052</v>
      </c>
      <c r="BI178" s="91">
        <f t="shared" si="51"/>
        <v>11.068840969849324</v>
      </c>
      <c r="BJ178" s="91">
        <f t="shared" si="51"/>
        <v>11.184984175177185</v>
      </c>
      <c r="BK178" s="91"/>
    </row>
    <row r="179" spans="1:63" s="82" customFormat="1" x14ac:dyDescent="0.25">
      <c r="C179" s="90" t="s">
        <v>243</v>
      </c>
      <c r="D179" s="91">
        <f>$K172/D178</f>
        <v>14.225492690908812</v>
      </c>
      <c r="E179" s="91">
        <f t="shared" ref="E179:BJ179" si="52">$K172/E178</f>
        <v>14.965856665170213</v>
      </c>
      <c r="F179" s="91">
        <f t="shared" si="52"/>
        <v>15.706659329727197</v>
      </c>
      <c r="G179" s="91">
        <f t="shared" si="52"/>
        <v>16.459235163659674</v>
      </c>
      <c r="H179" s="91">
        <f t="shared" si="52"/>
        <v>17.15826995184559</v>
      </c>
      <c r="I179" s="91">
        <f t="shared" si="52"/>
        <v>17.975898720534911</v>
      </c>
      <c r="J179" s="91">
        <f t="shared" si="52"/>
        <v>18.85112972976399</v>
      </c>
      <c r="K179" s="91">
        <f t="shared" si="52"/>
        <v>19.815405809820017</v>
      </c>
      <c r="L179" s="91">
        <f t="shared" si="52"/>
        <v>20.782525929493822</v>
      </c>
      <c r="M179" s="91">
        <f t="shared" si="52"/>
        <v>21.833305244592982</v>
      </c>
      <c r="N179" s="91">
        <f t="shared" si="52"/>
        <v>22.807327040747314</v>
      </c>
      <c r="O179" s="91">
        <f t="shared" si="52"/>
        <v>22.921204734642245</v>
      </c>
      <c r="P179" s="91">
        <f t="shared" si="52"/>
        <v>22.755241151207478</v>
      </c>
      <c r="Q179" s="91">
        <f t="shared" si="52"/>
        <v>23.399568462761774</v>
      </c>
      <c r="R179" s="91">
        <f t="shared" si="52"/>
        <v>23.542393835253545</v>
      </c>
      <c r="S179" s="91">
        <f t="shared" si="52"/>
        <v>23.681875487810846</v>
      </c>
      <c r="T179" s="91">
        <f t="shared" si="52"/>
        <v>23.490288319045707</v>
      </c>
      <c r="U179" s="91">
        <f t="shared" si="52"/>
        <v>24.384732324220721</v>
      </c>
      <c r="V179" s="91">
        <f t="shared" si="52"/>
        <v>24.204560955854816</v>
      </c>
      <c r="W179" s="91">
        <f t="shared" si="52"/>
        <v>24.832579499065726</v>
      </c>
      <c r="X179" s="91">
        <f t="shared" si="52"/>
        <v>23.764682157345064</v>
      </c>
      <c r="Y179" s="91">
        <f t="shared" si="52"/>
        <v>23.197248821325203</v>
      </c>
      <c r="Z179" s="91">
        <f t="shared" si="52"/>
        <v>24.430359911939714</v>
      </c>
      <c r="AA179" s="91">
        <f t="shared" si="52"/>
        <v>25.738586296408325</v>
      </c>
      <c r="AB179" s="91">
        <f t="shared" si="52"/>
        <v>27.006903131121707</v>
      </c>
      <c r="AC179" s="91">
        <f t="shared" si="52"/>
        <v>28.553067757827883</v>
      </c>
      <c r="AD179" s="91">
        <f t="shared" si="52"/>
        <v>30.981360309408071</v>
      </c>
      <c r="AE179" s="91">
        <f t="shared" si="52"/>
        <v>29.774066185236165</v>
      </c>
      <c r="AF179" s="91">
        <f t="shared" si="52"/>
        <v>30.369472560986129</v>
      </c>
      <c r="AG179" s="91">
        <f t="shared" si="52"/>
        <v>29.047410373536973</v>
      </c>
      <c r="AH179" s="91">
        <f t="shared" si="52"/>
        <v>29.28785052983309</v>
      </c>
      <c r="AI179" s="91">
        <f t="shared" si="52"/>
        <v>28.603548205553732</v>
      </c>
      <c r="AJ179" s="91">
        <f t="shared" si="52"/>
        <v>29.233718649310568</v>
      </c>
      <c r="AK179" s="91">
        <f t="shared" si="52"/>
        <v>29.060230863922747</v>
      </c>
      <c r="AL179" s="91">
        <f t="shared" si="52"/>
        <v>29.38199629899065</v>
      </c>
      <c r="AM179" s="91">
        <f t="shared" si="52"/>
        <v>28.3397824480111</v>
      </c>
      <c r="AN179" s="91">
        <f t="shared" si="52"/>
        <v>28.173621913788701</v>
      </c>
      <c r="AO179" s="91">
        <f t="shared" si="52"/>
        <v>27.530519005349365</v>
      </c>
      <c r="AP179" s="91">
        <f t="shared" si="52"/>
        <v>26.356945943947615</v>
      </c>
      <c r="AQ179" s="91">
        <f t="shared" si="52"/>
        <v>25.448091219201427</v>
      </c>
      <c r="AR179" s="91">
        <f t="shared" si="52"/>
        <v>24.934345247698019</v>
      </c>
      <c r="AS179" s="91">
        <f t="shared" si="52"/>
        <v>24.913775249843003</v>
      </c>
      <c r="AT179" s="91">
        <f t="shared" si="52"/>
        <v>25.156984906969914</v>
      </c>
      <c r="AU179" s="91">
        <f t="shared" si="52"/>
        <v>25.262549146352999</v>
      </c>
      <c r="AV179" s="91">
        <f t="shared" si="52"/>
        <v>24.944680813686499</v>
      </c>
      <c r="AW179" s="91">
        <f t="shared" si="52"/>
        <v>25.405256212136802</v>
      </c>
      <c r="AX179" s="91">
        <f t="shared" si="52"/>
        <v>25.381883527619895</v>
      </c>
      <c r="AY179" s="91">
        <f t="shared" si="52"/>
        <v>25.293205732068891</v>
      </c>
      <c r="AZ179" s="91">
        <f t="shared" si="52"/>
        <v>24.094544342371844</v>
      </c>
      <c r="BA179" s="91">
        <f t="shared" si="52"/>
        <v>24.231578025989005</v>
      </c>
      <c r="BB179" s="91">
        <f t="shared" si="52"/>
        <v>24.651047146381632</v>
      </c>
      <c r="BC179" s="91">
        <f t="shared" si="52"/>
        <v>24.515137641096313</v>
      </c>
      <c r="BD179" s="91">
        <f t="shared" si="52"/>
        <v>25.148557919123249</v>
      </c>
      <c r="BE179" s="91">
        <f t="shared" si="52"/>
        <v>24.877449301815673</v>
      </c>
      <c r="BF179" s="91">
        <f t="shared" si="52"/>
        <v>24.880757211771172</v>
      </c>
      <c r="BG179" s="91">
        <f t="shared" si="52"/>
        <v>25.176395226479777</v>
      </c>
      <c r="BH179" s="91">
        <f t="shared" si="52"/>
        <v>25.710127216016634</v>
      </c>
      <c r="BI179" s="91">
        <f t="shared" si="52"/>
        <v>25.522094026782785</v>
      </c>
      <c r="BJ179" s="91">
        <f t="shared" si="52"/>
        <v>25.257076413836305</v>
      </c>
      <c r="BK179" s="91"/>
    </row>
    <row r="180" spans="1:63" s="19" customFormat="1" x14ac:dyDescent="0.25">
      <c r="H180" s="72"/>
      <c r="I180" s="72"/>
      <c r="J180" s="72"/>
      <c r="K180" s="72"/>
      <c r="L180" s="72"/>
      <c r="M180" s="72"/>
      <c r="O180" s="72"/>
      <c r="P180" s="72"/>
      <c r="Q180" s="72"/>
      <c r="R180" s="72"/>
      <c r="S180" s="72"/>
      <c r="T180" s="72"/>
      <c r="U180" s="72"/>
      <c r="V180" s="72"/>
      <c r="W180" s="72"/>
      <c r="X180" s="72"/>
      <c r="Y180" s="72"/>
      <c r="Z180" s="72"/>
      <c r="AA180" s="72"/>
      <c r="AB180" s="72"/>
      <c r="AC180" s="72"/>
      <c r="AD180" s="72"/>
      <c r="AE180" s="72"/>
      <c r="AF180" s="72"/>
      <c r="AG180" s="72"/>
      <c r="AH180" s="72"/>
      <c r="AI180" s="72"/>
      <c r="AJ180" s="72"/>
      <c r="AK180" s="72"/>
      <c r="AL180" s="72"/>
      <c r="AM180" s="72"/>
      <c r="AN180" s="72"/>
      <c r="AO180" s="72"/>
      <c r="AP180" s="72"/>
      <c r="AQ180" s="72"/>
      <c r="AR180" s="72"/>
      <c r="AS180" s="72"/>
      <c r="AT180" s="72"/>
      <c r="AU180" s="72"/>
      <c r="AV180" s="72"/>
      <c r="AW180" s="72"/>
      <c r="AX180" s="72"/>
      <c r="AY180" s="72"/>
      <c r="AZ180" s="72"/>
      <c r="BA180" s="72"/>
      <c r="BB180" s="72"/>
      <c r="BC180" s="77"/>
      <c r="BK180" s="33"/>
    </row>
    <row r="181" spans="1:63" s="19" customFormat="1" x14ac:dyDescent="0.25">
      <c r="H181" s="72"/>
      <c r="I181" s="72"/>
      <c r="J181" s="72"/>
      <c r="K181" s="72"/>
      <c r="L181" s="72"/>
      <c r="M181" s="72"/>
      <c r="O181" s="72"/>
      <c r="P181" s="72"/>
      <c r="Q181" s="72"/>
      <c r="R181" s="72"/>
      <c r="S181" s="72"/>
      <c r="T181" s="72"/>
      <c r="U181" s="72"/>
      <c r="V181" s="72"/>
      <c r="W181" s="72"/>
      <c r="X181" s="72"/>
      <c r="Y181" s="72"/>
      <c r="Z181" s="72"/>
      <c r="AA181" s="72"/>
      <c r="AB181" s="72"/>
      <c r="AC181" s="72"/>
      <c r="AD181" s="72"/>
      <c r="AE181" s="72"/>
      <c r="AF181" s="72"/>
      <c r="AG181" s="72"/>
      <c r="AH181" s="72"/>
      <c r="AI181" s="72"/>
      <c r="AJ181" s="72"/>
      <c r="AK181" s="72"/>
      <c r="AL181" s="72"/>
      <c r="AM181" s="72"/>
      <c r="AN181" s="72"/>
      <c r="AO181" s="72"/>
      <c r="AP181" s="72"/>
      <c r="AQ181" s="72"/>
      <c r="AR181" s="72"/>
      <c r="AS181" s="72"/>
      <c r="AT181" s="72"/>
      <c r="AU181" s="72"/>
      <c r="AV181" s="72"/>
      <c r="AW181" s="72"/>
      <c r="AX181" s="72"/>
      <c r="AY181" s="72"/>
      <c r="AZ181" s="72"/>
      <c r="BA181" s="72"/>
      <c r="BB181" s="72"/>
      <c r="BC181" s="77"/>
      <c r="BK181" s="33"/>
    </row>
    <row r="182" spans="1:63" s="19" customFormat="1" x14ac:dyDescent="0.25">
      <c r="B182" s="19" t="s">
        <v>259</v>
      </c>
      <c r="C182" s="71"/>
      <c r="D182" s="72"/>
      <c r="E182" s="72"/>
      <c r="F182" s="72"/>
      <c r="G182" s="72"/>
      <c r="H182" s="72"/>
      <c r="I182" s="72"/>
      <c r="J182" s="72"/>
      <c r="K182" s="72"/>
      <c r="L182" s="72"/>
      <c r="M182" s="72"/>
      <c r="N182" s="72"/>
      <c r="O182" s="72"/>
      <c r="P182" s="72"/>
      <c r="Q182" s="72"/>
      <c r="R182" s="72"/>
      <c r="S182" s="72"/>
      <c r="T182" s="72"/>
      <c r="U182" s="72"/>
      <c r="V182" s="72"/>
      <c r="W182" s="72"/>
      <c r="X182" s="72"/>
      <c r="Y182" s="72"/>
      <c r="Z182" s="72"/>
      <c r="AA182" s="72"/>
      <c r="AB182" s="72"/>
      <c r="AC182" s="72"/>
      <c r="AD182" s="72"/>
      <c r="AE182" s="72"/>
      <c r="AF182" s="72"/>
      <c r="AG182" s="72"/>
      <c r="AH182" s="72"/>
      <c r="AI182" s="72"/>
      <c r="AJ182" s="72"/>
      <c r="AK182" s="72"/>
      <c r="AL182" s="72"/>
      <c r="AM182" s="72"/>
      <c r="AN182" s="72"/>
      <c r="AO182" s="72"/>
      <c r="AP182" s="72"/>
      <c r="AQ182" s="72"/>
      <c r="AR182" s="72"/>
      <c r="AS182" s="72"/>
      <c r="AT182" s="72"/>
      <c r="AU182" s="72"/>
      <c r="AV182" s="72"/>
      <c r="AW182" s="72"/>
      <c r="AX182" s="72"/>
      <c r="AY182" s="72"/>
      <c r="AZ182" s="72"/>
      <c r="BA182" s="72"/>
      <c r="BB182" s="72"/>
      <c r="BC182" s="77"/>
      <c r="BK182" s="33"/>
    </row>
    <row r="183" spans="1:63" x14ac:dyDescent="0.25">
      <c r="C183" s="78" t="s">
        <v>260</v>
      </c>
      <c r="D183" s="19">
        <v>1960</v>
      </c>
      <c r="E183" s="19">
        <v>1961</v>
      </c>
      <c r="F183" s="19">
        <v>1962</v>
      </c>
      <c r="G183" s="19">
        <v>1963</v>
      </c>
      <c r="H183" s="19">
        <v>1964</v>
      </c>
      <c r="I183" s="19">
        <v>1965</v>
      </c>
      <c r="J183" s="19">
        <v>1966</v>
      </c>
      <c r="K183" s="19">
        <v>1967</v>
      </c>
      <c r="L183" s="19">
        <v>1968</v>
      </c>
      <c r="M183" s="19">
        <v>1969</v>
      </c>
      <c r="N183" s="19">
        <v>1970</v>
      </c>
      <c r="O183" s="19">
        <v>1971</v>
      </c>
      <c r="P183" s="19">
        <v>1972</v>
      </c>
      <c r="Q183" s="19">
        <v>1973</v>
      </c>
      <c r="R183" s="19">
        <v>1974</v>
      </c>
      <c r="S183" s="19">
        <v>1975</v>
      </c>
      <c r="T183" s="19">
        <v>1976</v>
      </c>
      <c r="U183" s="19">
        <v>1977</v>
      </c>
      <c r="V183" s="19">
        <v>1978</v>
      </c>
      <c r="W183" s="19">
        <v>1979</v>
      </c>
      <c r="X183" s="19">
        <v>1980</v>
      </c>
      <c r="Y183" s="19">
        <v>1981</v>
      </c>
      <c r="Z183" s="19">
        <v>1982</v>
      </c>
      <c r="AA183" s="19">
        <v>1983</v>
      </c>
      <c r="AB183" s="19">
        <v>1984</v>
      </c>
      <c r="AC183" s="19">
        <v>1985</v>
      </c>
      <c r="AD183" s="19">
        <v>1986</v>
      </c>
      <c r="AE183" s="19">
        <v>1987</v>
      </c>
      <c r="AF183" s="19">
        <v>1988</v>
      </c>
      <c r="AG183" s="19">
        <v>1989</v>
      </c>
      <c r="AH183" s="19">
        <v>1990</v>
      </c>
      <c r="AI183" s="19">
        <v>1991</v>
      </c>
      <c r="AJ183" s="19">
        <v>1992</v>
      </c>
      <c r="AK183" s="19">
        <v>1993</v>
      </c>
      <c r="AL183" s="19">
        <v>1994</v>
      </c>
      <c r="AM183" s="19">
        <v>1995</v>
      </c>
      <c r="AN183" s="19">
        <v>1996</v>
      </c>
      <c r="AO183" s="19">
        <v>1997</v>
      </c>
      <c r="AP183" s="19">
        <v>1998</v>
      </c>
      <c r="AQ183" s="19">
        <v>1999</v>
      </c>
      <c r="AR183" s="19">
        <v>2000</v>
      </c>
      <c r="AS183" s="19">
        <v>2001</v>
      </c>
      <c r="AT183" s="19">
        <v>2002</v>
      </c>
      <c r="AU183" s="19">
        <v>2003</v>
      </c>
      <c r="AV183" s="19">
        <v>2004</v>
      </c>
      <c r="AW183" s="19">
        <v>2005</v>
      </c>
      <c r="AX183" s="19">
        <v>2006</v>
      </c>
      <c r="AY183" s="19">
        <v>2007</v>
      </c>
      <c r="AZ183" s="19">
        <v>2008</v>
      </c>
      <c r="BA183" s="19">
        <v>2009</v>
      </c>
      <c r="BB183" s="19">
        <v>2010</v>
      </c>
      <c r="BC183" s="19">
        <v>2011</v>
      </c>
      <c r="BD183" s="19">
        <v>2012</v>
      </c>
      <c r="BE183" s="19">
        <v>2013</v>
      </c>
      <c r="BF183" s="19">
        <v>2014</v>
      </c>
      <c r="BG183" s="19">
        <v>2015</v>
      </c>
      <c r="BH183" s="19">
        <v>2016</v>
      </c>
      <c r="BI183" s="19">
        <v>2017</v>
      </c>
      <c r="BJ183" s="19">
        <v>2018</v>
      </c>
      <c r="BK183" s="33">
        <v>2019</v>
      </c>
    </row>
    <row r="184" spans="1:63" x14ac:dyDescent="0.25">
      <c r="A184" s="14" t="s">
        <v>177</v>
      </c>
      <c r="C184" s="6" t="s">
        <v>261</v>
      </c>
      <c r="D184" s="92">
        <f t="shared" ref="D184:M184" si="53">D192*D$239</f>
        <v>6.5438872147933882</v>
      </c>
      <c r="E184" s="92">
        <f t="shared" si="53"/>
        <v>7.0428250330699669</v>
      </c>
      <c r="F184" s="92">
        <f t="shared" si="53"/>
        <v>7.4871045981392932</v>
      </c>
      <c r="G184" s="92">
        <f t="shared" si="53"/>
        <v>7.9915690656675578</v>
      </c>
      <c r="H184" s="92">
        <f t="shared" si="53"/>
        <v>8.8949596685803982</v>
      </c>
      <c r="I184" s="92">
        <f t="shared" si="53"/>
        <v>9.6176263261250021</v>
      </c>
      <c r="J184" s="92">
        <f t="shared" si="53"/>
        <v>10.208908891458524</v>
      </c>
      <c r="K184" s="92">
        <f t="shared" si="53"/>
        <v>10.967285368515768</v>
      </c>
      <c r="L184" s="92">
        <f t="shared" si="53"/>
        <v>11.675838396461234</v>
      </c>
      <c r="M184" s="92">
        <f t="shared" si="53"/>
        <v>12.107618310894328</v>
      </c>
      <c r="N184" s="93">
        <v>12.025529773165252</v>
      </c>
      <c r="O184" s="93">
        <v>12.717726504840185</v>
      </c>
      <c r="P184" s="93">
        <v>13.597761745529283</v>
      </c>
      <c r="Q184" s="93">
        <v>14.505932063775447</v>
      </c>
      <c r="R184" s="93">
        <v>14.04698840057708</v>
      </c>
      <c r="S184" s="93">
        <v>13.740329745648701</v>
      </c>
      <c r="T184" s="93">
        <v>14.38434895445473</v>
      </c>
      <c r="U184" s="93">
        <v>14.817243547939031</v>
      </c>
      <c r="V184" s="93">
        <v>15.75615801689573</v>
      </c>
      <c r="W184" s="93">
        <v>16.05636240053478</v>
      </c>
      <c r="X184" s="93">
        <v>16.496450451990619</v>
      </c>
      <c r="Y184" s="93">
        <v>16.120415199838838</v>
      </c>
      <c r="Z184" s="93">
        <v>16.659250201399971</v>
      </c>
      <c r="AA184" s="93">
        <v>17.011657361351951</v>
      </c>
      <c r="AB184" s="93">
        <v>17.597446261517199</v>
      </c>
      <c r="AC184" s="93">
        <v>17.78804680644836</v>
      </c>
      <c r="AD184" s="93">
        <v>18.754249263625539</v>
      </c>
      <c r="AE184" s="93">
        <v>19.369814850502323</v>
      </c>
      <c r="AF184" s="93">
        <v>20.362527459701511</v>
      </c>
      <c r="AG184" s="93">
        <v>20.808700159033009</v>
      </c>
      <c r="AH184" s="93">
        <v>21.515020074175361</v>
      </c>
      <c r="AI184" s="93">
        <v>21.308590259112584</v>
      </c>
      <c r="AJ184" s="93">
        <v>21.504010496757502</v>
      </c>
      <c r="AK184" s="93">
        <v>21.372669288801454</v>
      </c>
      <c r="AL184" s="93">
        <v>20.592872589414142</v>
      </c>
      <c r="AM184" s="93">
        <v>19.904985890799242</v>
      </c>
      <c r="AN184" s="93">
        <v>20.434516695862943</v>
      </c>
      <c r="AO184" s="93">
        <v>20.367755840543445</v>
      </c>
      <c r="AP184" s="93">
        <v>20.045429136315505</v>
      </c>
      <c r="AQ184" s="93">
        <v>20.162463981616717</v>
      </c>
      <c r="AR184" s="93">
        <v>19.924240143247921</v>
      </c>
      <c r="AS184" s="93">
        <v>19.595718518089711</v>
      </c>
      <c r="AT184" s="93">
        <v>19.567260255764662</v>
      </c>
      <c r="AU184" s="93">
        <v>18.75297280468007</v>
      </c>
      <c r="AV184" s="93">
        <v>18.386576686108576</v>
      </c>
      <c r="AW184" s="93">
        <v>17.815769988989214</v>
      </c>
      <c r="AX184" s="93">
        <v>17.062957646129924</v>
      </c>
      <c r="AY184" s="93">
        <v>16.596698498754606</v>
      </c>
      <c r="AZ184" s="93">
        <v>15.59006082798421</v>
      </c>
      <c r="BA184" s="93">
        <v>14.730537789600652</v>
      </c>
      <c r="BB184" s="93">
        <v>13.756184731831965</v>
      </c>
      <c r="BC184" s="94">
        <v>13.071047285083079</v>
      </c>
      <c r="BD184" s="93">
        <v>12.451023554465582</v>
      </c>
      <c r="BE184" s="93">
        <v>11.816283224564971</v>
      </c>
      <c r="BF184" s="48">
        <v>11.555918823238915</v>
      </c>
      <c r="BG184" s="48">
        <v>11.305379674271336</v>
      </c>
      <c r="BH184" s="48">
        <v>11.165761309788699</v>
      </c>
      <c r="BI184" s="48">
        <v>11.001545551081506</v>
      </c>
      <c r="BJ184" s="95">
        <v>10.803436773393853</v>
      </c>
      <c r="BK184" s="96">
        <f t="array" ref="BK184">TREND(AZ184:BJ184,AZ183:BJ183,BK183)</f>
        <v>9.6926454434271818</v>
      </c>
    </row>
    <row r="185" spans="1:63" x14ac:dyDescent="0.25">
      <c r="A185" s="14" t="s">
        <v>177</v>
      </c>
      <c r="C185" s="6" t="s">
        <v>262</v>
      </c>
      <c r="D185" s="92">
        <f t="shared" ref="D185:M185" si="54">D193*D$240</f>
        <v>4.6504537827170796E-2</v>
      </c>
      <c r="E185" s="92">
        <f t="shared" si="54"/>
        <v>5.2561432251562325E-2</v>
      </c>
      <c r="F185" s="92">
        <f t="shared" si="54"/>
        <v>5.7888633080363482E-2</v>
      </c>
      <c r="G185" s="92">
        <f t="shared" si="54"/>
        <v>6.463811351851706E-2</v>
      </c>
      <c r="H185" s="92">
        <f t="shared" si="54"/>
        <v>7.2985057271527848E-2</v>
      </c>
      <c r="I185" s="92">
        <f t="shared" si="54"/>
        <v>7.9160851408586225E-2</v>
      </c>
      <c r="J185" s="92">
        <f t="shared" si="54"/>
        <v>8.5303025510897856E-2</v>
      </c>
      <c r="K185" s="92">
        <f t="shared" si="54"/>
        <v>9.2691636839759631E-2</v>
      </c>
      <c r="L185" s="92">
        <f t="shared" si="54"/>
        <v>0.10135784345595458</v>
      </c>
      <c r="M185" s="92">
        <f t="shared" si="54"/>
        <v>0.10856341564077783</v>
      </c>
      <c r="N185" s="93">
        <v>0.10772665526079492</v>
      </c>
      <c r="O185" s="93">
        <v>0.11577242683168536</v>
      </c>
      <c r="P185" s="93">
        <v>0.12246679892276156</v>
      </c>
      <c r="Q185" s="93">
        <v>0.13427683282727998</v>
      </c>
      <c r="R185" s="93">
        <v>0.12964957754771769</v>
      </c>
      <c r="S185" s="93">
        <v>0.1299656263133111</v>
      </c>
      <c r="T185" s="93">
        <v>0.13412829635794429</v>
      </c>
      <c r="U185" s="93">
        <v>0.1415020782758252</v>
      </c>
      <c r="V185" s="93">
        <v>0.14593201313464541</v>
      </c>
      <c r="W185" s="93">
        <v>0.14756626995076999</v>
      </c>
      <c r="X185" s="93">
        <v>0.15209564573081019</v>
      </c>
      <c r="Y185" s="93">
        <v>0.15116657615101159</v>
      </c>
      <c r="Z185" s="93">
        <v>0.16411351964576498</v>
      </c>
      <c r="AA185" s="93">
        <v>0.17517207423515929</v>
      </c>
      <c r="AB185" s="93">
        <v>0.19308207426353868</v>
      </c>
      <c r="AC185" s="93">
        <v>0.20800272096211481</v>
      </c>
      <c r="AD185" s="93">
        <v>0.23800855842763041</v>
      </c>
      <c r="AE185" s="93">
        <v>0.3528958759662133</v>
      </c>
      <c r="AF185" s="93">
        <v>0.42305744948593099</v>
      </c>
      <c r="AG185" s="93">
        <v>0.59878268278387792</v>
      </c>
      <c r="AH185" s="93">
        <v>0.98542951659185851</v>
      </c>
      <c r="AI185" s="93">
        <v>1.1151288478849979</v>
      </c>
      <c r="AJ185" s="93">
        <v>1.4114713135387458</v>
      </c>
      <c r="AK185" s="93">
        <v>1.8065658479796309</v>
      </c>
      <c r="AL185" s="93">
        <v>2.3667444506789126</v>
      </c>
      <c r="AM185" s="93">
        <v>2.770348815088572</v>
      </c>
      <c r="AN185" s="93">
        <v>3.1866199946881819</v>
      </c>
      <c r="AO185" s="93">
        <v>3.4891218581983852</v>
      </c>
      <c r="AP185" s="93">
        <v>3.5985977808097482</v>
      </c>
      <c r="AQ185" s="93">
        <v>3.9389156424530123</v>
      </c>
      <c r="AR185" s="93">
        <v>4.11132756589239</v>
      </c>
      <c r="AS185" s="93">
        <v>4.4321421797921756</v>
      </c>
      <c r="AT185" s="93">
        <v>4.9647602408389693</v>
      </c>
      <c r="AU185" s="93">
        <v>5.4060076961966637</v>
      </c>
      <c r="AV185" s="93">
        <v>5.9252694002487694</v>
      </c>
      <c r="AW185" s="93">
        <v>6.5135227224455354</v>
      </c>
      <c r="AX185" s="93">
        <v>7.1225912832541134</v>
      </c>
      <c r="AY185" s="93">
        <v>7.6823845755008762</v>
      </c>
      <c r="AZ185" s="93">
        <v>8.0175520512103748</v>
      </c>
      <c r="BA185" s="93">
        <v>8.1757260865169652</v>
      </c>
      <c r="BB185" s="93">
        <v>8.4475219001165875</v>
      </c>
      <c r="BC185" s="94">
        <v>8.8951040779642341</v>
      </c>
      <c r="BD185" s="48">
        <v>9.4263813326849082</v>
      </c>
      <c r="BE185" s="48">
        <v>9.6891437436867189</v>
      </c>
      <c r="BF185" s="48">
        <v>10.024047314005823</v>
      </c>
      <c r="BG185" s="48">
        <v>10.439238305018035</v>
      </c>
      <c r="BH185" s="48">
        <v>10.878597168004854</v>
      </c>
      <c r="BI185" s="48">
        <v>11.010810686373279</v>
      </c>
      <c r="BJ185" s="48">
        <v>10.819622311914484</v>
      </c>
    </row>
    <row r="186" spans="1:63" x14ac:dyDescent="0.25">
      <c r="A186" s="14" t="s">
        <v>177</v>
      </c>
      <c r="C186" s="6" t="s">
        <v>263</v>
      </c>
      <c r="D186" s="48">
        <f t="shared" ref="D186:M186" si="55">SUM(D184:D185)</f>
        <v>6.5903917526205591</v>
      </c>
      <c r="E186" s="48">
        <f t="shared" si="55"/>
        <v>7.0953864653215293</v>
      </c>
      <c r="F186" s="48">
        <f t="shared" si="55"/>
        <v>7.5449932312196566</v>
      </c>
      <c r="G186" s="48">
        <f t="shared" si="55"/>
        <v>8.0562071791860745</v>
      </c>
      <c r="H186" s="48">
        <f t="shared" si="55"/>
        <v>8.9679447258519254</v>
      </c>
      <c r="I186" s="48">
        <f t="shared" si="55"/>
        <v>9.6967871775335883</v>
      </c>
      <c r="J186" s="48">
        <f t="shared" si="55"/>
        <v>10.294211916969422</v>
      </c>
      <c r="K186" s="48">
        <f t="shared" si="55"/>
        <v>11.059977005355528</v>
      </c>
      <c r="L186" s="48">
        <f t="shared" si="55"/>
        <v>11.777196239917188</v>
      </c>
      <c r="M186" s="48">
        <f t="shared" si="55"/>
        <v>12.216181726535105</v>
      </c>
      <c r="N186" s="48">
        <f t="shared" ref="N186:BJ186" si="56">N184+N185</f>
        <v>12.133256428426046</v>
      </c>
      <c r="O186" s="48">
        <f t="shared" si="56"/>
        <v>12.833498931671871</v>
      </c>
      <c r="P186" s="48">
        <f t="shared" si="56"/>
        <v>13.720228544452045</v>
      </c>
      <c r="Q186" s="48">
        <f t="shared" si="56"/>
        <v>14.640208896602728</v>
      </c>
      <c r="R186" s="48">
        <f t="shared" si="56"/>
        <v>14.176637978124797</v>
      </c>
      <c r="S186" s="48">
        <f t="shared" si="56"/>
        <v>13.870295371962012</v>
      </c>
      <c r="T186" s="48">
        <f t="shared" si="56"/>
        <v>14.518477250812674</v>
      </c>
      <c r="U186" s="48">
        <f t="shared" si="56"/>
        <v>14.958745626214856</v>
      </c>
      <c r="V186" s="48">
        <f t="shared" si="56"/>
        <v>15.902090030030376</v>
      </c>
      <c r="W186" s="48">
        <f t="shared" si="56"/>
        <v>16.203928670485549</v>
      </c>
      <c r="X186" s="48">
        <f t="shared" si="56"/>
        <v>16.648546097721429</v>
      </c>
      <c r="Y186" s="48">
        <f t="shared" si="56"/>
        <v>16.271581775989851</v>
      </c>
      <c r="Z186" s="48">
        <f t="shared" si="56"/>
        <v>16.823363721045734</v>
      </c>
      <c r="AA186" s="48">
        <f t="shared" si="56"/>
        <v>17.186829435587111</v>
      </c>
      <c r="AB186" s="48">
        <f t="shared" si="56"/>
        <v>17.790528335780738</v>
      </c>
      <c r="AC186" s="48">
        <f t="shared" si="56"/>
        <v>17.996049527410474</v>
      </c>
      <c r="AD186" s="48">
        <f t="shared" si="56"/>
        <v>18.992257822053169</v>
      </c>
      <c r="AE186" s="48">
        <f t="shared" si="56"/>
        <v>19.722710726468534</v>
      </c>
      <c r="AF186" s="48">
        <f t="shared" si="56"/>
        <v>20.785584909187442</v>
      </c>
      <c r="AG186" s="48">
        <f t="shared" si="56"/>
        <v>21.407482841816886</v>
      </c>
      <c r="AH186" s="48">
        <f t="shared" si="56"/>
        <v>22.500449590767218</v>
      </c>
      <c r="AI186" s="48">
        <f t="shared" si="56"/>
        <v>22.423719106997581</v>
      </c>
      <c r="AJ186" s="48">
        <f t="shared" si="56"/>
        <v>22.915481810296249</v>
      </c>
      <c r="AK186" s="48">
        <f t="shared" si="56"/>
        <v>23.179235136781084</v>
      </c>
      <c r="AL186" s="48">
        <f t="shared" si="56"/>
        <v>22.959617040093054</v>
      </c>
      <c r="AM186" s="48">
        <f t="shared" si="56"/>
        <v>22.675334705887813</v>
      </c>
      <c r="AN186" s="48">
        <f t="shared" si="56"/>
        <v>23.621136690551126</v>
      </c>
      <c r="AO186" s="48">
        <f t="shared" si="56"/>
        <v>23.85687769874183</v>
      </c>
      <c r="AP186" s="48">
        <f t="shared" si="56"/>
        <v>23.644026917125252</v>
      </c>
      <c r="AQ186" s="48">
        <f t="shared" si="56"/>
        <v>24.101379624069729</v>
      </c>
      <c r="AR186" s="48">
        <f t="shared" si="56"/>
        <v>24.035567709140309</v>
      </c>
      <c r="AS186" s="48">
        <f t="shared" si="56"/>
        <v>24.027860697881888</v>
      </c>
      <c r="AT186" s="48">
        <f t="shared" si="56"/>
        <v>24.532020496603632</v>
      </c>
      <c r="AU186" s="48">
        <f t="shared" si="56"/>
        <v>24.158980500876734</v>
      </c>
      <c r="AV186" s="48">
        <f t="shared" si="56"/>
        <v>24.311846086357345</v>
      </c>
      <c r="AW186" s="48">
        <f t="shared" si="56"/>
        <v>24.32929271143475</v>
      </c>
      <c r="AX186" s="48">
        <f t="shared" si="56"/>
        <v>24.185548929384037</v>
      </c>
      <c r="AY186" s="48">
        <f t="shared" si="56"/>
        <v>24.279083074255482</v>
      </c>
      <c r="AZ186" s="48">
        <f t="shared" si="56"/>
        <v>23.607612879194583</v>
      </c>
      <c r="BA186" s="48">
        <f t="shared" si="56"/>
        <v>22.906263876117617</v>
      </c>
      <c r="BB186" s="48">
        <f t="shared" si="56"/>
        <v>22.203706631948553</v>
      </c>
      <c r="BC186" s="48">
        <f t="shared" si="56"/>
        <v>21.966151363047313</v>
      </c>
      <c r="BD186" s="48">
        <f t="shared" si="56"/>
        <v>21.87740488715049</v>
      </c>
      <c r="BE186" s="48">
        <f t="shared" si="56"/>
        <v>21.50542696825169</v>
      </c>
      <c r="BF186" s="48">
        <f t="shared" si="56"/>
        <v>21.579966137244739</v>
      </c>
      <c r="BG186" s="48">
        <f t="shared" si="56"/>
        <v>21.744617979289373</v>
      </c>
      <c r="BH186" s="48">
        <f t="shared" si="56"/>
        <v>22.044358477793551</v>
      </c>
      <c r="BI186" s="48">
        <f t="shared" si="56"/>
        <v>22.012356237454785</v>
      </c>
      <c r="BJ186" s="48">
        <f t="shared" si="56"/>
        <v>21.623059085308338</v>
      </c>
      <c r="BK186" s="33" t="s">
        <v>264</v>
      </c>
    </row>
    <row r="187" spans="1:63" s="19" customFormat="1" x14ac:dyDescent="0.25">
      <c r="A187" s="6"/>
      <c r="C187" s="19" t="s">
        <v>265</v>
      </c>
      <c r="D187" s="97">
        <f t="shared" ref="D187:AI187" si="57">D128/D186</f>
        <v>10.327261649193586</v>
      </c>
      <c r="E187" s="97">
        <f t="shared" si="57"/>
        <v>10.839465950994509</v>
      </c>
      <c r="F187" s="97">
        <f t="shared" si="57"/>
        <v>11.089208092831514</v>
      </c>
      <c r="G187" s="97">
        <f t="shared" si="57"/>
        <v>11.344196836957876</v>
      </c>
      <c r="H187" s="97">
        <f t="shared" si="57"/>
        <v>11.787684160816211</v>
      </c>
      <c r="I187" s="97">
        <f t="shared" si="57"/>
        <v>11.947049871158082</v>
      </c>
      <c r="J187" s="97">
        <f t="shared" si="57"/>
        <v>12.285292067042615</v>
      </c>
      <c r="K187" s="97">
        <f t="shared" si="57"/>
        <v>12.205730620835096</v>
      </c>
      <c r="L187" s="97">
        <f t="shared" si="57"/>
        <v>12.118189855432309</v>
      </c>
      <c r="M187" s="97">
        <f t="shared" si="57"/>
        <v>12.104199438914192</v>
      </c>
      <c r="N187" s="97">
        <f t="shared" si="57"/>
        <v>12.770413360504575</v>
      </c>
      <c r="O187" s="97">
        <f t="shared" si="57"/>
        <v>12.863475571154616</v>
      </c>
      <c r="P187" s="97">
        <f t="shared" si="57"/>
        <v>12.735749950073343</v>
      </c>
      <c r="Q187" s="97">
        <f t="shared" si="57"/>
        <v>12.561890427852854</v>
      </c>
      <c r="R187" s="97">
        <f t="shared" si="57"/>
        <v>12.688918224304851</v>
      </c>
      <c r="S187" s="97">
        <f t="shared" si="57"/>
        <v>13.085171954368173</v>
      </c>
      <c r="T187" s="97">
        <f t="shared" si="57"/>
        <v>13.110514051282163</v>
      </c>
      <c r="U187" s="97">
        <f t="shared" si="57"/>
        <v>12.972036883890848</v>
      </c>
      <c r="V187" s="97">
        <f t="shared" si="57"/>
        <v>12.728653882461597</v>
      </c>
      <c r="W187" s="97">
        <f t="shared" si="57"/>
        <v>12.431972770092653</v>
      </c>
      <c r="X187" s="97">
        <f t="shared" si="57"/>
        <v>12.911782130297878</v>
      </c>
      <c r="Y187" s="97">
        <f t="shared" si="57"/>
        <v>13.48778520867859</v>
      </c>
      <c r="Z187" s="97">
        <f t="shared" si="57"/>
        <v>13.504481253994898</v>
      </c>
      <c r="AA187" s="97">
        <f t="shared" si="57"/>
        <v>13.45293504346118</v>
      </c>
      <c r="AB187" s="97">
        <f t="shared" si="57"/>
        <v>13.710913773674353</v>
      </c>
      <c r="AC187" s="97">
        <f t="shared" si="57"/>
        <v>13.920905230807538</v>
      </c>
      <c r="AD187" s="97">
        <f t="shared" si="57"/>
        <v>13.919287663262216</v>
      </c>
      <c r="AE187" s="97">
        <f t="shared" si="57"/>
        <v>14.423534571149501</v>
      </c>
      <c r="AF187" s="97">
        <f t="shared" si="57"/>
        <v>14.692307256892025</v>
      </c>
      <c r="AG187" s="97">
        <f t="shared" si="57"/>
        <v>15.475574706656293</v>
      </c>
      <c r="AH187" s="97">
        <f t="shared" si="57"/>
        <v>14.924070678916152</v>
      </c>
      <c r="AI187" s="97">
        <f t="shared" si="57"/>
        <v>14.946436779767327</v>
      </c>
      <c r="AJ187" s="97">
        <f t="shared" ref="AJ187:BJ187" si="58">AJ128/AJ186</f>
        <v>14.745053269976687</v>
      </c>
      <c r="AK187" s="97">
        <f t="shared" si="58"/>
        <v>14.584212895945685</v>
      </c>
      <c r="AL187" s="97">
        <f t="shared" si="58"/>
        <v>15.025058971915756</v>
      </c>
      <c r="AM187" s="97">
        <f t="shared" si="58"/>
        <v>15.483070241465436</v>
      </c>
      <c r="AN187" s="97">
        <f t="shared" si="58"/>
        <v>15.230952037287661</v>
      </c>
      <c r="AO187" s="97">
        <f t="shared" si="58"/>
        <v>15.329990144489351</v>
      </c>
      <c r="AP187" s="97">
        <f t="shared" si="58"/>
        <v>15.672148458417229</v>
      </c>
      <c r="AQ187" s="97">
        <f t="shared" si="58"/>
        <v>15.65514115313071</v>
      </c>
      <c r="AR187" s="97">
        <f t="shared" si="58"/>
        <v>15.64445261082828</v>
      </c>
      <c r="AS187" s="97">
        <f t="shared" si="58"/>
        <v>15.863755196216916</v>
      </c>
      <c r="AT187" s="97">
        <f t="shared" si="58"/>
        <v>15.918146654657487</v>
      </c>
      <c r="AU187" s="97">
        <f t="shared" si="58"/>
        <v>16.137299336197234</v>
      </c>
      <c r="AV187" s="97">
        <f t="shared" si="58"/>
        <v>16.214523512519648</v>
      </c>
      <c r="AW187" s="97">
        <f t="shared" si="58"/>
        <v>16.136761748749077</v>
      </c>
      <c r="AX187" s="97">
        <f t="shared" si="58"/>
        <v>16.425597829510071</v>
      </c>
      <c r="AY187" s="97">
        <f t="shared" si="58"/>
        <v>16.388827320333299</v>
      </c>
      <c r="AZ187" s="97">
        <f t="shared" si="58"/>
        <v>16.725477583037655</v>
      </c>
      <c r="BA187" s="97">
        <f t="shared" si="58"/>
        <v>17.19543624094316</v>
      </c>
      <c r="BB187" s="97">
        <f t="shared" si="58"/>
        <v>17.529375002638606</v>
      </c>
      <c r="BC187" s="97">
        <f t="shared" si="58"/>
        <v>17.894746034631218</v>
      </c>
      <c r="BD187" s="97">
        <f t="shared" si="58"/>
        <v>18.055592152614295</v>
      </c>
      <c r="BE187" s="97">
        <f t="shared" si="58"/>
        <v>18.450198667795</v>
      </c>
      <c r="BF187" s="97">
        <f t="shared" si="58"/>
        <v>18.900933273293681</v>
      </c>
      <c r="BG187" s="97">
        <f t="shared" si="58"/>
        <v>19.098192499658332</v>
      </c>
      <c r="BH187" s="97">
        <f t="shared" si="58"/>
        <v>19.261848804887528</v>
      </c>
      <c r="BI187" s="97">
        <f t="shared" si="58"/>
        <v>19.662638353250891</v>
      </c>
      <c r="BJ187" s="97">
        <f t="shared" si="58"/>
        <v>20.262197789473987</v>
      </c>
      <c r="BK187" s="33">
        <f>BA187/N187</f>
        <v>1.3465058456231322</v>
      </c>
    </row>
    <row r="188" spans="1:63" s="19" customFormat="1" x14ac:dyDescent="0.25">
      <c r="A188" s="6"/>
      <c r="C188" s="19" t="s">
        <v>266</v>
      </c>
      <c r="D188" s="97">
        <f t="shared" ref="D188:AI188" si="59">(D184/(D184+D185*1.25))*(D128/D184)</f>
        <v>10.309075371216512</v>
      </c>
      <c r="E188" s="97">
        <f t="shared" si="59"/>
        <v>10.819428822719486</v>
      </c>
      <c r="F188" s="97">
        <f t="shared" si="59"/>
        <v>11.067978446773136</v>
      </c>
      <c r="G188" s="97">
        <f t="shared" si="59"/>
        <v>11.321487651737248</v>
      </c>
      <c r="H188" s="97">
        <f t="shared" si="59"/>
        <v>11.763749525871409</v>
      </c>
      <c r="I188" s="97">
        <f t="shared" si="59"/>
        <v>11.922716749483017</v>
      </c>
      <c r="J188" s="97">
        <f t="shared" si="59"/>
        <v>12.25989415236795</v>
      </c>
      <c r="K188" s="97">
        <f t="shared" si="59"/>
        <v>12.180210593613785</v>
      </c>
      <c r="L188" s="97">
        <f t="shared" si="59"/>
        <v>12.092172700698026</v>
      </c>
      <c r="M188" s="97">
        <f t="shared" si="59"/>
        <v>12.077366991552548</v>
      </c>
      <c r="N188" s="97">
        <f t="shared" si="59"/>
        <v>12.74213020593514</v>
      </c>
      <c r="O188" s="97">
        <f t="shared" si="59"/>
        <v>12.834530138788063</v>
      </c>
      <c r="P188" s="97">
        <f t="shared" si="59"/>
        <v>12.707393392702333</v>
      </c>
      <c r="Q188" s="97">
        <f t="shared" si="59"/>
        <v>12.533152585953388</v>
      </c>
      <c r="R188" s="97">
        <f t="shared" si="59"/>
        <v>12.659973417224334</v>
      </c>
      <c r="S188" s="97">
        <f t="shared" si="59"/>
        <v>13.054591348559491</v>
      </c>
      <c r="T188" s="97">
        <f t="shared" si="59"/>
        <v>13.08030360276585</v>
      </c>
      <c r="U188" s="97">
        <f t="shared" si="59"/>
        <v>12.941432052825817</v>
      </c>
      <c r="V188" s="97">
        <f t="shared" si="59"/>
        <v>12.699518305492454</v>
      </c>
      <c r="W188" s="97">
        <f t="shared" si="59"/>
        <v>12.403733127283193</v>
      </c>
      <c r="X188" s="97">
        <f t="shared" si="59"/>
        <v>12.88235987875718</v>
      </c>
      <c r="Y188" s="97">
        <f t="shared" si="59"/>
        <v>13.45653167340555</v>
      </c>
      <c r="Z188" s="97">
        <f t="shared" si="59"/>
        <v>13.471627002025482</v>
      </c>
      <c r="AA188" s="97">
        <f t="shared" si="59"/>
        <v>13.41874332255288</v>
      </c>
      <c r="AB188" s="97">
        <f t="shared" si="59"/>
        <v>13.67381301799729</v>
      </c>
      <c r="AC188" s="97">
        <f t="shared" si="59"/>
        <v>13.88079582656513</v>
      </c>
      <c r="AD188" s="97">
        <f t="shared" si="59"/>
        <v>13.875815175710677</v>
      </c>
      <c r="AE188" s="97">
        <f t="shared" si="59"/>
        <v>14.359302293050815</v>
      </c>
      <c r="AF188" s="97">
        <f t="shared" si="59"/>
        <v>14.617926110485817</v>
      </c>
      <c r="AG188" s="97">
        <f t="shared" si="59"/>
        <v>15.368110432805528</v>
      </c>
      <c r="AH188" s="97">
        <f t="shared" si="59"/>
        <v>14.762436787023567</v>
      </c>
      <c r="AI188" s="97">
        <f t="shared" si="59"/>
        <v>14.762897501517381</v>
      </c>
      <c r="AJ188" s="97">
        <f t="shared" ref="AJ188:BJ188" si="60">(AJ184/(AJ184+AJ185*1.25))*(AJ128/AJ184)</f>
        <v>14.521442442067187</v>
      </c>
      <c r="AK188" s="97">
        <f t="shared" si="60"/>
        <v>14.30547439012525</v>
      </c>
      <c r="AL188" s="97">
        <f t="shared" si="60"/>
        <v>14.647580125923175</v>
      </c>
      <c r="AM188" s="97">
        <f t="shared" si="60"/>
        <v>15.024177218551349</v>
      </c>
      <c r="AN188" s="97">
        <f t="shared" si="60"/>
        <v>14.734026916888887</v>
      </c>
      <c r="AO188" s="97">
        <f t="shared" si="60"/>
        <v>14.789249904304961</v>
      </c>
      <c r="AP188" s="97">
        <f t="shared" si="60"/>
        <v>15.097685225705007</v>
      </c>
      <c r="AQ188" s="97">
        <f t="shared" si="60"/>
        <v>15.040614987308478</v>
      </c>
      <c r="AR188" s="97">
        <f t="shared" si="60"/>
        <v>15.002884923512017</v>
      </c>
      <c r="AS188" s="97">
        <f t="shared" si="60"/>
        <v>15.16445231622605</v>
      </c>
      <c r="AT188" s="97">
        <f t="shared" si="60"/>
        <v>15.151558209606399</v>
      </c>
      <c r="AU188" s="97">
        <f t="shared" si="60"/>
        <v>15.282372693158992</v>
      </c>
      <c r="AV188" s="97">
        <f t="shared" si="60"/>
        <v>15.283313385413933</v>
      </c>
      <c r="AW188" s="97">
        <f t="shared" si="60"/>
        <v>15.124467977946669</v>
      </c>
      <c r="AX188" s="97">
        <f t="shared" si="60"/>
        <v>15.299202413883636</v>
      </c>
      <c r="AY188" s="97">
        <f t="shared" si="60"/>
        <v>15.187426406527958</v>
      </c>
      <c r="AZ188" s="97">
        <f t="shared" si="60"/>
        <v>15.416546394209128</v>
      </c>
      <c r="BA188" s="97">
        <f t="shared" si="60"/>
        <v>15.786778168301231</v>
      </c>
      <c r="BB188" s="97">
        <f t="shared" si="60"/>
        <v>16.006897069259278</v>
      </c>
      <c r="BC188" s="97">
        <f t="shared" si="60"/>
        <v>16.249684994248724</v>
      </c>
      <c r="BD188" s="97">
        <f t="shared" si="60"/>
        <v>16.29980590941647</v>
      </c>
      <c r="BE188" s="97">
        <f t="shared" si="60"/>
        <v>16.582420626201824</v>
      </c>
      <c r="BF188" s="97">
        <f t="shared" si="60"/>
        <v>16.934396460051055</v>
      </c>
      <c r="BG188" s="97">
        <f t="shared" si="60"/>
        <v>17.051638723714031</v>
      </c>
      <c r="BH188" s="97">
        <f t="shared" si="60"/>
        <v>17.146461265365652</v>
      </c>
      <c r="BI188" s="97">
        <f t="shared" si="60"/>
        <v>17.477083401641558</v>
      </c>
      <c r="BJ188" s="97">
        <f t="shared" si="60"/>
        <v>18.009344639552928</v>
      </c>
      <c r="BK188" s="33">
        <f>BA188/N188</f>
        <v>1.2389434037448406</v>
      </c>
    </row>
    <row r="189" spans="1:63" s="19" customFormat="1" x14ac:dyDescent="0.25">
      <c r="A189" s="6"/>
      <c r="C189" s="19" t="s">
        <v>267</v>
      </c>
      <c r="D189" s="97">
        <f t="shared" ref="D189:AI189" si="61">(D185*1.25/(D184+D185*1.25))*(D128/D185)</f>
        <v>12.886344214020639</v>
      </c>
      <c r="E189" s="97">
        <f t="shared" si="61"/>
        <v>13.524286028399359</v>
      </c>
      <c r="F189" s="97">
        <f t="shared" si="61"/>
        <v>13.834973058466417</v>
      </c>
      <c r="G189" s="97">
        <f t="shared" si="61"/>
        <v>14.151859564671561</v>
      </c>
      <c r="H189" s="97">
        <f t="shared" si="61"/>
        <v>14.704686907339259</v>
      </c>
      <c r="I189" s="97">
        <f t="shared" si="61"/>
        <v>14.903395936853771</v>
      </c>
      <c r="J189" s="97">
        <f t="shared" si="61"/>
        <v>15.324867690459939</v>
      </c>
      <c r="K189" s="97">
        <f t="shared" si="61"/>
        <v>15.225263242017228</v>
      </c>
      <c r="L189" s="97">
        <f t="shared" si="61"/>
        <v>15.115215875872531</v>
      </c>
      <c r="M189" s="97">
        <f t="shared" si="61"/>
        <v>15.096708739440682</v>
      </c>
      <c r="N189" s="97">
        <f t="shared" si="61"/>
        <v>15.927662757418929</v>
      </c>
      <c r="O189" s="97">
        <f t="shared" si="61"/>
        <v>16.043162673485078</v>
      </c>
      <c r="P189" s="97">
        <f t="shared" si="61"/>
        <v>15.884241740877915</v>
      </c>
      <c r="Q189" s="97">
        <f t="shared" si="61"/>
        <v>15.666440732441734</v>
      </c>
      <c r="R189" s="97">
        <f t="shared" si="61"/>
        <v>15.824966771530418</v>
      </c>
      <c r="S189" s="97">
        <f t="shared" si="61"/>
        <v>16.318239185699362</v>
      </c>
      <c r="T189" s="97">
        <f t="shared" si="61"/>
        <v>16.350379503457312</v>
      </c>
      <c r="U189" s="97">
        <f t="shared" si="61"/>
        <v>16.176790066032272</v>
      </c>
      <c r="V189" s="97">
        <f t="shared" si="61"/>
        <v>15.874397881865567</v>
      </c>
      <c r="W189" s="97">
        <f t="shared" si="61"/>
        <v>15.504666409103992</v>
      </c>
      <c r="X189" s="97">
        <f t="shared" si="61"/>
        <v>16.102949848446475</v>
      </c>
      <c r="Y189" s="97">
        <f t="shared" si="61"/>
        <v>16.820664591756934</v>
      </c>
      <c r="Z189" s="97">
        <f t="shared" si="61"/>
        <v>16.839533752531857</v>
      </c>
      <c r="AA189" s="97">
        <f t="shared" si="61"/>
        <v>16.773429153191099</v>
      </c>
      <c r="AB189" s="97">
        <f t="shared" si="61"/>
        <v>17.092266272496612</v>
      </c>
      <c r="AC189" s="97">
        <f t="shared" si="61"/>
        <v>17.350994783206417</v>
      </c>
      <c r="AD189" s="97">
        <f t="shared" si="61"/>
        <v>17.344768969638348</v>
      </c>
      <c r="AE189" s="97">
        <f t="shared" si="61"/>
        <v>17.949127866313518</v>
      </c>
      <c r="AF189" s="97">
        <f t="shared" si="61"/>
        <v>18.272407638107271</v>
      </c>
      <c r="AG189" s="97">
        <f t="shared" si="61"/>
        <v>19.210138041006907</v>
      </c>
      <c r="AH189" s="97">
        <f t="shared" si="61"/>
        <v>18.453045983779461</v>
      </c>
      <c r="AI189" s="97">
        <f t="shared" si="61"/>
        <v>18.453621876896726</v>
      </c>
      <c r="AJ189" s="97">
        <f t="shared" ref="AJ189:BJ189" si="62">(AJ185*1.25/(AJ184+AJ185*1.25))*(AJ128/AJ185)</f>
        <v>18.151803052583983</v>
      </c>
      <c r="AK189" s="97">
        <f t="shared" si="62"/>
        <v>17.881842987656562</v>
      </c>
      <c r="AL189" s="97">
        <f t="shared" si="62"/>
        <v>18.309475157403973</v>
      </c>
      <c r="AM189" s="97">
        <f t="shared" si="62"/>
        <v>18.780221523189184</v>
      </c>
      <c r="AN189" s="97">
        <f t="shared" si="62"/>
        <v>18.41753364611111</v>
      </c>
      <c r="AO189" s="97">
        <f t="shared" si="62"/>
        <v>18.486562380381205</v>
      </c>
      <c r="AP189" s="97">
        <f t="shared" si="62"/>
        <v>18.872106532131259</v>
      </c>
      <c r="AQ189" s="97">
        <f t="shared" si="62"/>
        <v>18.800768734135598</v>
      </c>
      <c r="AR189" s="97">
        <f t="shared" si="62"/>
        <v>18.753606154390017</v>
      </c>
      <c r="AS189" s="97">
        <f t="shared" si="62"/>
        <v>18.955565395282566</v>
      </c>
      <c r="AT189" s="97">
        <f t="shared" si="62"/>
        <v>18.939447762008001</v>
      </c>
      <c r="AU189" s="97">
        <f t="shared" si="62"/>
        <v>19.102965866448741</v>
      </c>
      <c r="AV189" s="97">
        <f t="shared" si="62"/>
        <v>19.10414173176742</v>
      </c>
      <c r="AW189" s="97">
        <f t="shared" si="62"/>
        <v>18.905584972433335</v>
      </c>
      <c r="AX189" s="97">
        <f t="shared" si="62"/>
        <v>19.124003017354543</v>
      </c>
      <c r="AY189" s="97">
        <f t="shared" si="62"/>
        <v>18.984283008159952</v>
      </c>
      <c r="AZ189" s="97">
        <f t="shared" si="62"/>
        <v>19.270682992761408</v>
      </c>
      <c r="BA189" s="97">
        <f t="shared" si="62"/>
        <v>19.733472710376542</v>
      </c>
      <c r="BB189" s="97">
        <f t="shared" si="62"/>
        <v>20.008621336574095</v>
      </c>
      <c r="BC189" s="97">
        <f t="shared" si="62"/>
        <v>20.312106242810902</v>
      </c>
      <c r="BD189" s="97">
        <f t="shared" si="62"/>
        <v>20.374757386770593</v>
      </c>
      <c r="BE189" s="97">
        <f t="shared" si="62"/>
        <v>20.72802578275228</v>
      </c>
      <c r="BF189" s="97">
        <f t="shared" si="62"/>
        <v>21.167995575063813</v>
      </c>
      <c r="BG189" s="97">
        <f t="shared" si="62"/>
        <v>21.314548404642537</v>
      </c>
      <c r="BH189" s="97">
        <f t="shared" si="62"/>
        <v>21.433076581707063</v>
      </c>
      <c r="BI189" s="97">
        <f t="shared" si="62"/>
        <v>21.846354252051945</v>
      </c>
      <c r="BJ189" s="97">
        <f t="shared" si="62"/>
        <v>22.511680799441159</v>
      </c>
      <c r="BK189" s="33">
        <f>BA189/N189</f>
        <v>1.2389434037448406</v>
      </c>
    </row>
    <row r="190" spans="1:63" s="19" customFormat="1" x14ac:dyDescent="0.25">
      <c r="A190" s="6"/>
      <c r="B190" s="98">
        <f>(N190/X190)^(1/10)</f>
        <v>0.99890597530644698</v>
      </c>
      <c r="C190" s="19" t="s">
        <v>237</v>
      </c>
      <c r="D190" s="99">
        <f t="shared" ref="D190:L191" si="63">E190*$B190</f>
        <v>18.419263685956835</v>
      </c>
      <c r="E190" s="99">
        <f t="shared" si="63"/>
        <v>18.439436885244504</v>
      </c>
      <c r="F190" s="99">
        <f t="shared" si="63"/>
        <v>18.45963217868189</v>
      </c>
      <c r="G190" s="99">
        <f t="shared" si="63"/>
        <v>18.479849590467005</v>
      </c>
      <c r="H190" s="99">
        <f t="shared" si="63"/>
        <v>18.500089144824376</v>
      </c>
      <c r="I190" s="99">
        <f t="shared" si="63"/>
        <v>18.52035086600505</v>
      </c>
      <c r="J190" s="99">
        <f t="shared" si="63"/>
        <v>18.540634778286645</v>
      </c>
      <c r="K190" s="99">
        <f t="shared" si="63"/>
        <v>18.560940905973357</v>
      </c>
      <c r="L190" s="99">
        <f t="shared" si="63"/>
        <v>18.581269273396011</v>
      </c>
      <c r="M190" s="99">
        <f>N190*$B190</f>
        <v>18.60161990491207</v>
      </c>
      <c r="N190" s="95">
        <f t="shared" ref="N190:AS190" si="64">(N$120*(N184*N188/(N$184*N$187+N$185*N$188))*1000000000/1.609)/(N184*1000000*$N$5)</f>
        <v>18.621992824905686</v>
      </c>
      <c r="O190" s="95">
        <f t="shared" si="64"/>
        <v>18.757042674793492</v>
      </c>
      <c r="P190" s="95">
        <f t="shared" si="64"/>
        <v>18.571230594429597</v>
      </c>
      <c r="Q190" s="95">
        <f t="shared" si="64"/>
        <v>18.316606523136212</v>
      </c>
      <c r="R190" s="95">
        <f t="shared" si="64"/>
        <v>18.50194690100232</v>
      </c>
      <c r="S190" s="95">
        <f t="shared" si="64"/>
        <v>19.078681954666806</v>
      </c>
      <c r="T190" s="95">
        <f t="shared" si="64"/>
        <v>19.116247561760403</v>
      </c>
      <c r="U190" s="95">
        <f t="shared" si="64"/>
        <v>18.913312806810609</v>
      </c>
      <c r="V190" s="95">
        <f t="shared" si="64"/>
        <v>18.559742545893577</v>
      </c>
      <c r="W190" s="95">
        <f t="shared" si="64"/>
        <v>18.127460775445787</v>
      </c>
      <c r="X190" s="95">
        <f t="shared" si="64"/>
        <v>18.826953274751638</v>
      </c>
      <c r="Y190" s="95">
        <f t="shared" si="64"/>
        <v>19.666091864015687</v>
      </c>
      <c r="Z190" s="95">
        <f t="shared" si="64"/>
        <v>19.68819640511051</v>
      </c>
      <c r="AA190" s="95">
        <f t="shared" si="64"/>
        <v>19.610951801334956</v>
      </c>
      <c r="AB190" s="95">
        <f t="shared" si="64"/>
        <v>19.98379507856944</v>
      </c>
      <c r="AC190" s="95">
        <f t="shared" si="64"/>
        <v>20.286372963439387</v>
      </c>
      <c r="AD190" s="95">
        <f t="shared" si="64"/>
        <v>20.279212269510353</v>
      </c>
      <c r="AE190" s="95">
        <f t="shared" si="64"/>
        <v>20.986669424774043</v>
      </c>
      <c r="AF190" s="95">
        <f t="shared" si="64"/>
        <v>21.365157126714291</v>
      </c>
      <c r="AG190" s="95">
        <f t="shared" si="64"/>
        <v>22.463654512202812</v>
      </c>
      <c r="AH190" s="95">
        <f t="shared" si="64"/>
        <v>21.584384786190739</v>
      </c>
      <c r="AI190" s="95">
        <f t="shared" si="64"/>
        <v>21.58800320066711</v>
      </c>
      <c r="AJ190" s="95">
        <f t="shared" si="64"/>
        <v>21.241794090439988</v>
      </c>
      <c r="AK190" s="95">
        <f t="shared" si="64"/>
        <v>20.937520348552837</v>
      </c>
      <c r="AL190" s="95">
        <f t="shared" si="64"/>
        <v>21.461874233757271</v>
      </c>
      <c r="AM190" s="95">
        <f t="shared" si="64"/>
        <v>22.03645507415257</v>
      </c>
      <c r="AN190" s="95">
        <f t="shared" si="64"/>
        <v>21.627821137594371</v>
      </c>
      <c r="AO190" s="95">
        <f t="shared" si="64"/>
        <v>21.725409174488831</v>
      </c>
      <c r="AP190" s="95">
        <f t="shared" si="64"/>
        <v>22.18786910573942</v>
      </c>
      <c r="AQ190" s="95">
        <f t="shared" si="64"/>
        <v>22.122605917303186</v>
      </c>
      <c r="AR190" s="95">
        <f t="shared" si="64"/>
        <v>22.080430683179507</v>
      </c>
      <c r="AS190" s="95">
        <f t="shared" si="64"/>
        <v>22.343340472766766</v>
      </c>
      <c r="AT190" s="95">
        <f t="shared" ref="AT190:BJ190" si="65">(AT$120*(AT184*AT188/(AT$184*AT$187+AT$185*AT$188))*1000000000/1.609)/(AT184*1000000*$N$5)</f>
        <v>22.360749251836772</v>
      </c>
      <c r="AU190" s="95">
        <f t="shared" si="65"/>
        <v>22.601934891250128</v>
      </c>
      <c r="AV190" s="95">
        <f t="shared" si="65"/>
        <v>22.652432242956866</v>
      </c>
      <c r="AW190" s="95">
        <f t="shared" si="65"/>
        <v>22.480788868282598</v>
      </c>
      <c r="AX190" s="95">
        <f t="shared" si="65"/>
        <v>22.819434540554539</v>
      </c>
      <c r="AY190" s="95">
        <f t="shared" si="65"/>
        <v>22.722290799133809</v>
      </c>
      <c r="AZ190" s="95">
        <f t="shared" si="65"/>
        <v>23.145238960466536</v>
      </c>
      <c r="BA190" s="95">
        <f t="shared" si="65"/>
        <v>23.766039855249421</v>
      </c>
      <c r="BB190" s="95">
        <f t="shared" si="65"/>
        <v>24.19222833033977</v>
      </c>
      <c r="BC190" s="95">
        <f t="shared" si="65"/>
        <v>24.665870464460905</v>
      </c>
      <c r="BD190" s="95">
        <f t="shared" si="65"/>
        <v>24.86262354700882</v>
      </c>
      <c r="BE190" s="95">
        <f t="shared" si="65"/>
        <v>25.392045865047844</v>
      </c>
      <c r="BF190" s="95">
        <f t="shared" si="65"/>
        <v>26.005106414245706</v>
      </c>
      <c r="BG190" s="95">
        <f t="shared" si="65"/>
        <v>26.271171472158613</v>
      </c>
      <c r="BH190" s="95">
        <f t="shared" si="65"/>
        <v>26.494086039097528</v>
      </c>
      <c r="BI190" s="95">
        <f t="shared" si="65"/>
        <v>27.045090164760488</v>
      </c>
      <c r="BJ190" s="95">
        <f t="shared" si="65"/>
        <v>27.869758302924698</v>
      </c>
      <c r="BK190" s="33"/>
    </row>
    <row r="191" spans="1:63" s="19" customFormat="1" x14ac:dyDescent="0.25">
      <c r="A191" s="6"/>
      <c r="B191" s="98">
        <f>(N191/X191)^(1/10)</f>
        <v>0.99890609055465229</v>
      </c>
      <c r="C191" s="19" t="s">
        <v>238</v>
      </c>
      <c r="D191" s="99">
        <f t="shared" si="63"/>
        <v>23.023653428644913</v>
      </c>
      <c r="E191" s="99">
        <f t="shared" si="63"/>
        <v>23.048866801743902</v>
      </c>
      <c r="F191" s="99">
        <f t="shared" si="63"/>
        <v>23.07410778619419</v>
      </c>
      <c r="G191" s="99">
        <f t="shared" si="63"/>
        <v>23.099376412233173</v>
      </c>
      <c r="H191" s="99">
        <f t="shared" si="63"/>
        <v>23.12467271013136</v>
      </c>
      <c r="I191" s="99">
        <f t="shared" si="63"/>
        <v>23.149996710192408</v>
      </c>
      <c r="J191" s="99">
        <f t="shared" si="63"/>
        <v>23.175348442753158</v>
      </c>
      <c r="K191" s="99">
        <f t="shared" si="63"/>
        <v>23.200727938183679</v>
      </c>
      <c r="L191" s="99">
        <f t="shared" si="63"/>
        <v>23.226135226887294</v>
      </c>
      <c r="M191" s="99">
        <f>N191*$B191</f>
        <v>23.251570339300621</v>
      </c>
      <c r="N191" s="95">
        <f t="shared" ref="N191:AS191" si="66">(N$120*(N185*N189/(N$184*N$188+N$185*N$189))*1000000000/1.609)/(N185*1000000*$N$5)</f>
        <v>23.27703330589361</v>
      </c>
      <c r="O191" s="95">
        <f t="shared" si="66"/>
        <v>23.445827399166788</v>
      </c>
      <c r="P191" s="95">
        <f t="shared" si="66"/>
        <v>23.213576886480769</v>
      </c>
      <c r="Q191" s="95">
        <f t="shared" si="66"/>
        <v>22.895277748393806</v>
      </c>
      <c r="R191" s="95">
        <f t="shared" si="66"/>
        <v>23.126951155089962</v>
      </c>
      <c r="S191" s="95">
        <f t="shared" si="66"/>
        <v>23.847830206107091</v>
      </c>
      <c r="T191" s="95">
        <f t="shared" si="66"/>
        <v>23.894800766590958</v>
      </c>
      <c r="U191" s="95">
        <f t="shared" si="66"/>
        <v>23.641113381440114</v>
      </c>
      <c r="V191" s="95">
        <f t="shared" si="66"/>
        <v>23.199190856491384</v>
      </c>
      <c r="W191" s="95">
        <f t="shared" si="66"/>
        <v>22.658857228338718</v>
      </c>
      <c r="X191" s="95">
        <f t="shared" si="66"/>
        <v>23.53320167899912</v>
      </c>
      <c r="Y191" s="95">
        <f t="shared" si="66"/>
        <v>24.58208563884984</v>
      </c>
      <c r="Z191" s="95">
        <f t="shared" si="66"/>
        <v>24.609661441433154</v>
      </c>
      <c r="AA191" s="95">
        <f t="shared" si="66"/>
        <v>24.513054740000396</v>
      </c>
      <c r="AB191" s="95">
        <f t="shared" si="66"/>
        <v>24.97901025138092</v>
      </c>
      <c r="AC191" s="95">
        <f t="shared" si="66"/>
        <v>25.357121732814132</v>
      </c>
      <c r="AD191" s="95">
        <f t="shared" si="66"/>
        <v>25.348023193248896</v>
      </c>
      <c r="AE191" s="95">
        <f t="shared" si="66"/>
        <v>26.231246449596938</v>
      </c>
      <c r="AF191" s="95">
        <f t="shared" si="66"/>
        <v>26.703694550098049</v>
      </c>
      <c r="AG191" s="95">
        <f t="shared" si="66"/>
        <v>28.074114187472453</v>
      </c>
      <c r="AH191" s="95">
        <f t="shared" si="66"/>
        <v>26.967683363307607</v>
      </c>
      <c r="AI191" s="95">
        <f t="shared" si="66"/>
        <v>26.968524986053858</v>
      </c>
      <c r="AJ191" s="95">
        <f t="shared" si="66"/>
        <v>26.52744038168521</v>
      </c>
      <c r="AK191" s="95">
        <f t="shared" si="66"/>
        <v>26.132914862261472</v>
      </c>
      <c r="AL191" s="95">
        <f t="shared" si="66"/>
        <v>26.757865830239854</v>
      </c>
      <c r="AM191" s="95">
        <f t="shared" si="66"/>
        <v>27.445824823464175</v>
      </c>
      <c r="AN191" s="95">
        <f t="shared" si="66"/>
        <v>26.915784859474002</v>
      </c>
      <c r="AO191" s="95">
        <f t="shared" si="66"/>
        <v>27.016664955388904</v>
      </c>
      <c r="AP191" s="95">
        <f t="shared" si="66"/>
        <v>27.580107577062847</v>
      </c>
      <c r="AQ191" s="95">
        <f t="shared" si="66"/>
        <v>27.475852965121081</v>
      </c>
      <c r="AR191" s="95">
        <f t="shared" si="66"/>
        <v>27.406928543738633</v>
      </c>
      <c r="AS191" s="95">
        <f t="shared" si="66"/>
        <v>27.702076177656181</v>
      </c>
      <c r="AT191" s="95">
        <f t="shared" ref="AT191:BJ191" si="67">(AT$120*(AT185*AT189/(AT$184*AT$188+AT$185*AT$189))*1000000000/1.609)/(AT185*1000000*$N$5)</f>
        <v>27.678521517298396</v>
      </c>
      <c r="AU191" s="95">
        <f t="shared" si="67"/>
        <v>27.917490437042186</v>
      </c>
      <c r="AV191" s="95">
        <f t="shared" si="67"/>
        <v>27.919208872232772</v>
      </c>
      <c r="AW191" s="95">
        <f t="shared" si="67"/>
        <v>27.629033698981004</v>
      </c>
      <c r="AX191" s="95">
        <f t="shared" si="67"/>
        <v>27.948234587628079</v>
      </c>
      <c r="AY191" s="95">
        <f t="shared" si="67"/>
        <v>27.744044722670822</v>
      </c>
      <c r="AZ191" s="95">
        <f t="shared" si="67"/>
        <v>28.162595898816875</v>
      </c>
      <c r="BA191" s="95">
        <f t="shared" si="67"/>
        <v>28.838926873085846</v>
      </c>
      <c r="BB191" s="95">
        <f t="shared" si="67"/>
        <v>29.24103506897216</v>
      </c>
      <c r="BC191" s="95">
        <f t="shared" si="67"/>
        <v>29.68455452175688</v>
      </c>
      <c r="BD191" s="95">
        <f t="shared" si="67"/>
        <v>29.77611426826914</v>
      </c>
      <c r="BE191" s="95">
        <f t="shared" si="67"/>
        <v>30.292388397400547</v>
      </c>
      <c r="BF191" s="95">
        <f t="shared" si="67"/>
        <v>30.93536983574451</v>
      </c>
      <c r="BG191" s="95">
        <f t="shared" si="67"/>
        <v>31.149545333250433</v>
      </c>
      <c r="BH191" s="95">
        <f t="shared" si="67"/>
        <v>31.32276499311125</v>
      </c>
      <c r="BI191" s="95">
        <f t="shared" si="67"/>
        <v>31.926737982978775</v>
      </c>
      <c r="BJ191" s="95">
        <f t="shared" si="67"/>
        <v>32.89906069213837</v>
      </c>
      <c r="BK191" s="33"/>
    </row>
    <row r="192" spans="1:63" s="19" customFormat="1" x14ac:dyDescent="0.25">
      <c r="A192" s="6"/>
      <c r="C192" s="19" t="s">
        <v>268</v>
      </c>
      <c r="D192" s="100">
        <f t="shared" ref="D192:M192" si="68">1-D204-D230</f>
        <v>0.80377002333152059</v>
      </c>
      <c r="E192" s="100">
        <f t="shared" si="68"/>
        <v>0.81005298463230091</v>
      </c>
      <c r="F192" s="100">
        <f t="shared" si="68"/>
        <v>0.81860509084337263</v>
      </c>
      <c r="G192" s="100">
        <f t="shared" si="68"/>
        <v>0.82754826700138595</v>
      </c>
      <c r="H192" s="100">
        <f t="shared" si="68"/>
        <v>0.83208400134971261</v>
      </c>
      <c r="I192" s="100">
        <f t="shared" si="68"/>
        <v>0.83875070006529406</v>
      </c>
      <c r="J192" s="100">
        <f t="shared" si="68"/>
        <v>0.84442288746887439</v>
      </c>
      <c r="K192" s="100">
        <f t="shared" si="68"/>
        <v>0.84996499854422136</v>
      </c>
      <c r="L192" s="100">
        <f t="shared" si="68"/>
        <v>0.85376862948138632</v>
      </c>
      <c r="M192" s="100">
        <f t="shared" si="68"/>
        <v>0.85695841029446507</v>
      </c>
      <c r="N192" s="46">
        <f t="shared" ref="N192:BJ192" si="69">N184/N$239</f>
        <v>0.85834063104071556</v>
      </c>
      <c r="O192" s="46">
        <f t="shared" si="69"/>
        <v>0.86286611309020034</v>
      </c>
      <c r="P192" s="46">
        <f t="shared" si="69"/>
        <v>0.8677679703572404</v>
      </c>
      <c r="Q192" s="46">
        <f t="shared" si="69"/>
        <v>0.86943889820832743</v>
      </c>
      <c r="R192" s="46">
        <f t="shared" si="69"/>
        <v>0.86484980183587601</v>
      </c>
      <c r="S192" s="46">
        <f t="shared" si="69"/>
        <v>0.86460936587848114</v>
      </c>
      <c r="T192" s="46">
        <f t="shared" si="69"/>
        <v>0.86431139582873784</v>
      </c>
      <c r="U192" s="46">
        <f t="shared" si="69"/>
        <v>0.86671690062965234</v>
      </c>
      <c r="V192" s="46">
        <f t="shared" si="69"/>
        <v>0.87023306520863808</v>
      </c>
      <c r="W192" s="46">
        <f t="shared" si="69"/>
        <v>0.87063787311961338</v>
      </c>
      <c r="X192" s="46">
        <f t="shared" si="69"/>
        <v>0.87222637859073016</v>
      </c>
      <c r="Y192" s="46">
        <f t="shared" si="69"/>
        <v>0.87173009220143161</v>
      </c>
      <c r="Z192" s="46">
        <f t="shared" si="69"/>
        <v>0.87588577450345617</v>
      </c>
      <c r="AA192" s="46">
        <f t="shared" si="69"/>
        <v>0.87986654571345702</v>
      </c>
      <c r="AB192" s="46">
        <f t="shared" si="69"/>
        <v>0.88041453940553716</v>
      </c>
      <c r="AC192" s="46">
        <f t="shared" si="69"/>
        <v>0.88238856837754032</v>
      </c>
      <c r="AD192" s="46">
        <f t="shared" si="69"/>
        <v>0.88371274347747297</v>
      </c>
      <c r="AE192" s="46">
        <f t="shared" si="69"/>
        <v>0.88334998857908886</v>
      </c>
      <c r="AF192" s="46">
        <f t="shared" si="69"/>
        <v>0.88608490893873082</v>
      </c>
      <c r="AG192" s="46">
        <f t="shared" si="69"/>
        <v>0.87996143913425318</v>
      </c>
      <c r="AH192" s="46">
        <f t="shared" si="69"/>
        <v>0.89521628648489537</v>
      </c>
      <c r="AI192" s="46">
        <f t="shared" si="69"/>
        <v>0.89727633073113833</v>
      </c>
      <c r="AJ192" s="46">
        <f t="shared" si="69"/>
        <v>0.9047500515836624</v>
      </c>
      <c r="AK192" s="46">
        <f t="shared" si="69"/>
        <v>0.91008205256612373</v>
      </c>
      <c r="AL192" s="46">
        <f t="shared" si="69"/>
        <v>0.91318305433229074</v>
      </c>
      <c r="AM192" s="46">
        <f t="shared" si="69"/>
        <v>0.9191990815504355</v>
      </c>
      <c r="AN192" s="46">
        <f t="shared" si="69"/>
        <v>0.9243230802633764</v>
      </c>
      <c r="AO192" s="46">
        <f t="shared" si="69"/>
        <v>0.92805686337672344</v>
      </c>
      <c r="AP192" s="46">
        <f t="shared" si="69"/>
        <v>0.9305816715231735</v>
      </c>
      <c r="AQ192" s="46">
        <f t="shared" si="69"/>
        <v>0.93881219570631536</v>
      </c>
      <c r="AR192" s="46">
        <f t="shared" si="69"/>
        <v>0.94475547000136051</v>
      </c>
      <c r="AS192" s="46">
        <f t="shared" si="69"/>
        <v>0.95018702195172655</v>
      </c>
      <c r="AT192" s="46">
        <f t="shared" si="69"/>
        <v>0.95512510949782381</v>
      </c>
      <c r="AU192" s="46">
        <f t="shared" si="69"/>
        <v>0.9571823017001142</v>
      </c>
      <c r="AV192" s="46">
        <f t="shared" si="69"/>
        <v>0.96075870238483652</v>
      </c>
      <c r="AW192" s="46">
        <f t="shared" si="69"/>
        <v>0.96274338378969626</v>
      </c>
      <c r="AX192" s="46">
        <f t="shared" si="69"/>
        <v>0.96211323023357342</v>
      </c>
      <c r="AY192" s="46">
        <f t="shared" si="69"/>
        <v>0.96226078034759677</v>
      </c>
      <c r="AZ192" s="46">
        <f t="shared" si="69"/>
        <v>0.96355353294192625</v>
      </c>
      <c r="BA192" s="46">
        <f t="shared" si="69"/>
        <v>0.96487116796692018</v>
      </c>
      <c r="BB192" s="46">
        <f t="shared" si="69"/>
        <v>0.96630290438614796</v>
      </c>
      <c r="BC192" s="46">
        <f t="shared" si="69"/>
        <v>0.96645197128065929</v>
      </c>
      <c r="BD192" s="46">
        <f t="shared" si="69"/>
        <v>0.96704505076011349</v>
      </c>
      <c r="BE192" s="46">
        <f t="shared" si="69"/>
        <v>0.967382192987714</v>
      </c>
      <c r="BF192" s="46">
        <f t="shared" si="69"/>
        <v>0.96733014085581537</v>
      </c>
      <c r="BG192" s="46">
        <f t="shared" si="69"/>
        <v>0.96761938060901187</v>
      </c>
      <c r="BH192" s="46">
        <f t="shared" si="69"/>
        <v>0.9681477055293003</v>
      </c>
      <c r="BI192" s="46">
        <f t="shared" si="69"/>
        <v>0.96861579670725306</v>
      </c>
      <c r="BJ192" s="46">
        <f t="shared" si="69"/>
        <v>0.96931011543326129</v>
      </c>
      <c r="BK192" s="33"/>
    </row>
    <row r="193" spans="1:63" s="19" customFormat="1" x14ac:dyDescent="0.25">
      <c r="A193" s="6"/>
      <c r="C193" s="19" t="s">
        <v>269</v>
      </c>
      <c r="D193" s="100">
        <f t="shared" ref="D193:L193" si="70">E193-0.0005</f>
        <v>1.7418232310765926E-2</v>
      </c>
      <c r="E193" s="100">
        <f t="shared" si="70"/>
        <v>1.7918232310765926E-2</v>
      </c>
      <c r="F193" s="100">
        <f t="shared" si="70"/>
        <v>1.8418232310765927E-2</v>
      </c>
      <c r="G193" s="100">
        <f t="shared" si="70"/>
        <v>1.8918232310765927E-2</v>
      </c>
      <c r="H193" s="100">
        <f t="shared" si="70"/>
        <v>1.9418232310765927E-2</v>
      </c>
      <c r="I193" s="100">
        <f t="shared" si="70"/>
        <v>1.9918232310765928E-2</v>
      </c>
      <c r="J193" s="100">
        <f t="shared" si="70"/>
        <v>2.0418232310765928E-2</v>
      </c>
      <c r="K193" s="100">
        <f t="shared" si="70"/>
        <v>2.0918232310765929E-2</v>
      </c>
      <c r="L193" s="100">
        <f t="shared" si="70"/>
        <v>2.1418232310765929E-2</v>
      </c>
      <c r="M193" s="100">
        <f>N193-0.0005</f>
        <v>2.191823231076593E-2</v>
      </c>
      <c r="N193" s="46">
        <f t="shared" ref="N193:BJ193" si="71">N185/N$240</f>
        <v>2.241823231076593E-2</v>
      </c>
      <c r="O193" s="46">
        <f t="shared" si="71"/>
        <v>2.3349565687822475E-2</v>
      </c>
      <c r="P193" s="46">
        <f t="shared" si="71"/>
        <v>2.4390223020672185E-2</v>
      </c>
      <c r="Q193" s="46">
        <f t="shared" si="71"/>
        <v>2.4844922521075844E-2</v>
      </c>
      <c r="R193" s="46">
        <f t="shared" si="71"/>
        <v>2.4616442959233632E-2</v>
      </c>
      <c r="S193" s="46">
        <f t="shared" si="71"/>
        <v>2.5099032046795564E-2</v>
      </c>
      <c r="T193" s="46">
        <f t="shared" si="71"/>
        <v>2.5053919145862011E-2</v>
      </c>
      <c r="U193" s="46">
        <f t="shared" si="71"/>
        <v>2.5889857189100175E-2</v>
      </c>
      <c r="V193" s="46">
        <f t="shared" si="71"/>
        <v>2.5931676248688702E-2</v>
      </c>
      <c r="W193" s="46">
        <f t="shared" si="71"/>
        <v>2.5401196162567252E-2</v>
      </c>
      <c r="X193" s="46">
        <f t="shared" si="71"/>
        <v>2.7038716882629665E-2</v>
      </c>
      <c r="Y193" s="46">
        <f t="shared" si="71"/>
        <v>2.8350591346944894E-2</v>
      </c>
      <c r="Z193" s="46">
        <f t="shared" si="71"/>
        <v>2.9768628389497846E-2</v>
      </c>
      <c r="AA193" s="46">
        <f t="shared" si="71"/>
        <v>2.9393831668946747E-2</v>
      </c>
      <c r="AB193" s="46">
        <f t="shared" si="71"/>
        <v>2.9600732346724792E-2</v>
      </c>
      <c r="AC193" s="46">
        <f t="shared" si="71"/>
        <v>3.0290948323030233E-2</v>
      </c>
      <c r="AD193" s="46">
        <f t="shared" si="71"/>
        <v>3.1223984964009903E-2</v>
      </c>
      <c r="AE193" s="46">
        <f t="shared" si="71"/>
        <v>4.2961787860166738E-2</v>
      </c>
      <c r="AF193" s="46">
        <f t="shared" si="71"/>
        <v>4.6502382612025411E-2</v>
      </c>
      <c r="AG193" s="46">
        <f t="shared" si="71"/>
        <v>6.088514751070271E-2</v>
      </c>
      <c r="AH193" s="46">
        <f t="shared" si="71"/>
        <v>9.5049614897403323E-2</v>
      </c>
      <c r="AI193" s="46">
        <f t="shared" si="71"/>
        <v>0.10701241726545906</v>
      </c>
      <c r="AJ193" s="46">
        <f t="shared" si="71"/>
        <v>0.13001841615579851</v>
      </c>
      <c r="AK193" s="46">
        <f t="shared" si="71"/>
        <v>0.15676979273489378</v>
      </c>
      <c r="AL193" s="46">
        <f t="shared" si="71"/>
        <v>0.18757370006807453</v>
      </c>
      <c r="AM193" s="46">
        <f t="shared" si="71"/>
        <v>0.21061031868275473</v>
      </c>
      <c r="AN193" s="46">
        <f t="shared" si="71"/>
        <v>0.22666021777486256</v>
      </c>
      <c r="AO193" s="46">
        <f t="shared" si="71"/>
        <v>0.23788763004086008</v>
      </c>
      <c r="AP193" s="46">
        <f t="shared" si="71"/>
        <v>0.24263711081143</v>
      </c>
      <c r="AQ193" s="46">
        <f t="shared" si="71"/>
        <v>0.25925329097913186</v>
      </c>
      <c r="AR193" s="46">
        <f t="shared" si="71"/>
        <v>0.26846708658275353</v>
      </c>
      <c r="AS193" s="46">
        <f t="shared" si="71"/>
        <v>0.2816110234957836</v>
      </c>
      <c r="AT193" s="46">
        <f t="shared" si="71"/>
        <v>0.29905704657801369</v>
      </c>
      <c r="AU193" s="46">
        <f t="shared" si="71"/>
        <v>0.31099269384881489</v>
      </c>
      <c r="AV193" s="46">
        <f t="shared" si="71"/>
        <v>0.32629137250588247</v>
      </c>
      <c r="AW193" s="46">
        <f t="shared" si="71"/>
        <v>0.34238378472075193</v>
      </c>
      <c r="AX193" s="46">
        <f t="shared" si="71"/>
        <v>0.35978320744032039</v>
      </c>
      <c r="AY193" s="46">
        <f t="shared" si="71"/>
        <v>0.37182100418695591</v>
      </c>
      <c r="AZ193" s="46">
        <f t="shared" si="71"/>
        <v>0.39820598273454233</v>
      </c>
      <c r="BA193" s="46">
        <f t="shared" si="71"/>
        <v>0.41351156365316033</v>
      </c>
      <c r="BB193" s="46">
        <f t="shared" si="71"/>
        <v>0.41459601327560336</v>
      </c>
      <c r="BC193" s="46">
        <f t="shared" si="71"/>
        <v>0.43139441256885108</v>
      </c>
      <c r="BD193" s="46">
        <f t="shared" si="71"/>
        <v>0.4449308856361196</v>
      </c>
      <c r="BE193" s="46">
        <f t="shared" si="71"/>
        <v>0.44921917090705266</v>
      </c>
      <c r="BF193" s="46">
        <f t="shared" si="71"/>
        <v>0.44968350941648877</v>
      </c>
      <c r="BG193" s="46">
        <f t="shared" si="71"/>
        <v>0.44883683070451025</v>
      </c>
      <c r="BH193" s="46">
        <f t="shared" si="71"/>
        <v>0.44915417225859006</v>
      </c>
      <c r="BI193" s="46">
        <f t="shared" si="71"/>
        <v>0.45023129404233231</v>
      </c>
      <c r="BJ193" s="46">
        <f t="shared" si="71"/>
        <v>0.44760223010406064</v>
      </c>
      <c r="BK193" s="33"/>
    </row>
    <row r="194" spans="1:63" s="19" customFormat="1" x14ac:dyDescent="0.25">
      <c r="A194" s="6"/>
      <c r="N194" s="97"/>
      <c r="O194" s="97"/>
      <c r="P194" s="97"/>
      <c r="Q194" s="97"/>
      <c r="R194" s="97"/>
      <c r="S194" s="97"/>
      <c r="T194" s="97"/>
      <c r="U194" s="97"/>
      <c r="V194" s="97"/>
      <c r="W194" s="97"/>
      <c r="X194" s="97"/>
      <c r="Y194" s="97"/>
      <c r="Z194" s="97"/>
      <c r="AA194" s="97"/>
      <c r="AB194" s="97"/>
      <c r="AC194" s="97"/>
      <c r="AD194" s="97"/>
      <c r="AE194" s="97"/>
      <c r="AF194" s="97"/>
      <c r="AG194" s="97"/>
      <c r="AH194" s="97"/>
      <c r="AI194" s="97"/>
      <c r="AJ194" s="97"/>
      <c r="AK194" s="97"/>
      <c r="AL194" s="97"/>
      <c r="AM194" s="97"/>
      <c r="AN194" s="97"/>
      <c r="AO194" s="97"/>
      <c r="AP194" s="97"/>
      <c r="AQ194" s="97"/>
      <c r="AR194" s="97"/>
      <c r="AS194" s="97"/>
      <c r="AT194" s="97"/>
      <c r="AU194" s="97"/>
      <c r="AV194" s="97"/>
      <c r="AW194" s="97"/>
      <c r="AX194" s="97"/>
      <c r="AY194" s="97"/>
      <c r="AZ194" s="97"/>
      <c r="BA194" s="97"/>
      <c r="BB194" s="97"/>
      <c r="BC194" s="101"/>
      <c r="BD194" s="97"/>
      <c r="BE194" s="97"/>
      <c r="BF194" s="97"/>
      <c r="BG194" s="97"/>
      <c r="BH194" s="97"/>
      <c r="BI194" s="97"/>
      <c r="BJ194" s="97"/>
      <c r="BK194" s="33"/>
    </row>
    <row r="195" spans="1:63" s="19" customFormat="1" x14ac:dyDescent="0.25">
      <c r="A195" s="6"/>
      <c r="N195" s="97"/>
      <c r="O195" s="97"/>
      <c r="P195" s="97"/>
      <c r="Q195" s="97"/>
      <c r="R195" s="97"/>
      <c r="S195" s="97"/>
      <c r="T195" s="97"/>
      <c r="U195" s="97"/>
      <c r="V195" s="97"/>
      <c r="W195" s="97"/>
      <c r="X195" s="97"/>
      <c r="Y195" s="97"/>
      <c r="Z195" s="97"/>
      <c r="AA195" s="97"/>
      <c r="AB195" s="97"/>
      <c r="AC195" s="97"/>
      <c r="AD195" s="97"/>
      <c r="AE195" s="97"/>
      <c r="AF195" s="97"/>
      <c r="AG195" s="97"/>
      <c r="AH195" s="97"/>
      <c r="AI195" s="97"/>
      <c r="AJ195" s="97"/>
      <c r="AK195" s="97"/>
      <c r="AL195" s="97"/>
      <c r="AM195" s="97"/>
      <c r="AN195" s="97"/>
      <c r="AO195" s="97"/>
      <c r="AP195" s="97"/>
      <c r="AQ195" s="97"/>
      <c r="AR195" s="97"/>
      <c r="AS195" s="97"/>
      <c r="AT195" s="97"/>
      <c r="AU195" s="97"/>
      <c r="AV195" s="97"/>
      <c r="AW195" s="97"/>
      <c r="AX195" s="97"/>
      <c r="AY195" s="97"/>
      <c r="AZ195" s="97"/>
      <c r="BA195" s="97"/>
      <c r="BB195" s="97"/>
      <c r="BC195" s="101"/>
      <c r="BD195" s="97"/>
      <c r="BE195" s="97"/>
      <c r="BF195" s="97"/>
      <c r="BG195" s="97"/>
      <c r="BH195" s="97"/>
      <c r="BI195" s="97"/>
      <c r="BJ195" s="97"/>
      <c r="BK195" s="33"/>
    </row>
    <row r="196" spans="1:63" x14ac:dyDescent="0.25">
      <c r="A196" s="14" t="s">
        <v>177</v>
      </c>
      <c r="C196" s="6" t="s">
        <v>270</v>
      </c>
      <c r="D196" s="92">
        <f t="shared" ref="D196:M196" si="72">D204*D$239</f>
        <v>1.1163522199652463</v>
      </c>
      <c r="E196" s="92">
        <f t="shared" si="72"/>
        <v>1.1834552000175764</v>
      </c>
      <c r="F196" s="92">
        <f t="shared" si="72"/>
        <v>1.2358207370571883</v>
      </c>
      <c r="G196" s="92">
        <f t="shared" si="72"/>
        <v>1.2951755099812607</v>
      </c>
      <c r="H196" s="92">
        <f t="shared" si="72"/>
        <v>1.4230378400188737</v>
      </c>
      <c r="I196" s="92">
        <f t="shared" si="72"/>
        <v>1.5149554756573282</v>
      </c>
      <c r="J196" s="92">
        <f t="shared" si="72"/>
        <v>1.5852017559024616</v>
      </c>
      <c r="K196" s="92">
        <f t="shared" si="72"/>
        <v>1.6789524641024378</v>
      </c>
      <c r="L196" s="92">
        <f t="shared" si="72"/>
        <v>1.7657841489924047</v>
      </c>
      <c r="M196" s="92">
        <f t="shared" si="72"/>
        <v>1.8101396899691382</v>
      </c>
      <c r="N196" s="93">
        <v>1.780961724292685</v>
      </c>
      <c r="O196" s="93">
        <v>1.8242010619489322</v>
      </c>
      <c r="P196" s="93">
        <v>1.8885089949913523</v>
      </c>
      <c r="Q196" s="93">
        <v>1.9830445512041388</v>
      </c>
      <c r="R196" s="93">
        <v>1.985082546133442</v>
      </c>
      <c r="S196" s="93">
        <v>1.9081819466336563</v>
      </c>
      <c r="T196" s="93">
        <v>1.9534619789908869</v>
      </c>
      <c r="U196" s="93">
        <v>1.977974297989503</v>
      </c>
      <c r="V196" s="93">
        <v>2.0465851207057479</v>
      </c>
      <c r="W196" s="93">
        <v>2.0630160348237321</v>
      </c>
      <c r="X196" s="93">
        <v>2.0440046979915882</v>
      </c>
      <c r="Y196" s="93">
        <v>1.9594057362775841</v>
      </c>
      <c r="Z196" s="93">
        <v>1.9320783264343531</v>
      </c>
      <c r="AA196" s="93">
        <v>1.9349485614491739</v>
      </c>
      <c r="AB196" s="93">
        <v>2.0160522361725111</v>
      </c>
      <c r="AC196" s="93">
        <v>2.0365883590803131</v>
      </c>
      <c r="AD196" s="93">
        <v>2.1473843462467261</v>
      </c>
      <c r="AE196" s="93">
        <v>2.2636382743357073</v>
      </c>
      <c r="AF196" s="93">
        <v>2.3580000676929203</v>
      </c>
      <c r="AG196" s="93">
        <v>2.5976095761350462</v>
      </c>
      <c r="AH196" s="93">
        <v>2.2817871568015358</v>
      </c>
      <c r="AI196" s="93">
        <v>2.2106939081469763</v>
      </c>
      <c r="AJ196" s="93">
        <v>2.0687710142394171</v>
      </c>
      <c r="AK196" s="93">
        <v>1.9464334313285445</v>
      </c>
      <c r="AL196" s="93">
        <v>1.7965594871554418</v>
      </c>
      <c r="AM196" s="93">
        <v>1.5920668886936751</v>
      </c>
      <c r="AN196" s="93">
        <v>1.5092219612428965</v>
      </c>
      <c r="AO196" s="93">
        <v>1.403299863847058</v>
      </c>
      <c r="AP196" s="93">
        <v>1.3147654428385898</v>
      </c>
      <c r="AQ196" s="93">
        <v>1.114096057226313</v>
      </c>
      <c r="AR196" s="93">
        <v>0.96534260957580398</v>
      </c>
      <c r="AS196" s="93">
        <v>0.82288242299427528</v>
      </c>
      <c r="AT196" s="93">
        <v>0.70601157411366944</v>
      </c>
      <c r="AU196" s="93">
        <v>0.60655717727971337</v>
      </c>
      <c r="AV196" s="93">
        <v>0.53849676511394706</v>
      </c>
      <c r="AW196" s="93">
        <v>0.46714339721243969</v>
      </c>
      <c r="AX196" s="93">
        <v>0.46492067377135632</v>
      </c>
      <c r="AY196" s="93">
        <v>0.43016987508957383</v>
      </c>
      <c r="AZ196" s="93">
        <v>0.38759462814285889</v>
      </c>
      <c r="BA196" s="93">
        <v>0.33975898197540166</v>
      </c>
      <c r="BB196" s="93">
        <v>0.30628338326706184</v>
      </c>
      <c r="BC196" s="94">
        <v>0.28166709047877869</v>
      </c>
      <c r="BD196" s="48">
        <v>0.25756372133691235</v>
      </c>
      <c r="BE196" s="48">
        <v>0.24035722613926086</v>
      </c>
      <c r="BF196" s="48">
        <v>0.22780305483362917</v>
      </c>
      <c r="BG196" s="48">
        <v>0.21424534988870131</v>
      </c>
      <c r="BH196" s="48">
        <v>0.20178988232439404</v>
      </c>
      <c r="BI196" s="48">
        <v>0.19011448521269911</v>
      </c>
      <c r="BJ196" s="95">
        <v>0.17955001740664683</v>
      </c>
      <c r="BK196" s="96">
        <f t="array" ref="BK196">TREND(AZ196:BJ196,AZ183:BJ183,BK183)</f>
        <v>0.14150876420548286</v>
      </c>
    </row>
    <row r="197" spans="1:63" x14ac:dyDescent="0.25">
      <c r="A197" s="14" t="s">
        <v>177</v>
      </c>
      <c r="C197" s="6" t="s">
        <v>271</v>
      </c>
      <c r="D197" s="92">
        <f t="shared" ref="D197:M197" si="73">D205*D$240</f>
        <v>0.1144873306493414</v>
      </c>
      <c r="E197" s="92">
        <f t="shared" si="73"/>
        <v>0.12872111288445734</v>
      </c>
      <c r="F197" s="92">
        <f t="shared" si="73"/>
        <v>0.14106169154701603</v>
      </c>
      <c r="G197" s="92">
        <f t="shared" si="73"/>
        <v>0.15676250023387642</v>
      </c>
      <c r="H197" s="92">
        <f t="shared" si="73"/>
        <v>0.17620664812573619</v>
      </c>
      <c r="I197" s="92">
        <f t="shared" si="73"/>
        <v>0.19029352605934158</v>
      </c>
      <c r="J197" s="92">
        <f t="shared" si="73"/>
        <v>0.20421493056972817</v>
      </c>
      <c r="K197" s="92">
        <f t="shared" si="73"/>
        <v>0.22103030023422512</v>
      </c>
      <c r="L197" s="92">
        <f t="shared" si="73"/>
        <v>0.24078556420023273</v>
      </c>
      <c r="M197" s="92">
        <f t="shared" si="73"/>
        <v>0.25697292141914757</v>
      </c>
      <c r="N197" s="93">
        <v>0.25476523818580044</v>
      </c>
      <c r="O197" s="93">
        <v>0.2751959796636495</v>
      </c>
      <c r="P197" s="93">
        <v>0.29681382767421427</v>
      </c>
      <c r="Q197" s="93">
        <v>0.3293829571361177</v>
      </c>
      <c r="R197" s="93">
        <v>0.3410796004379244</v>
      </c>
      <c r="S197" s="93">
        <v>0.32931919244970309</v>
      </c>
      <c r="T197" s="93">
        <v>0.32922287070955469</v>
      </c>
      <c r="U197" s="93">
        <v>0.35637928009854891</v>
      </c>
      <c r="V197" s="93">
        <v>0.37070895192343678</v>
      </c>
      <c r="W197" s="93">
        <v>0.38140316462403212</v>
      </c>
      <c r="X197" s="93">
        <v>0.38429929680572283</v>
      </c>
      <c r="Y197" s="93">
        <v>0.38614208836533132</v>
      </c>
      <c r="Z197" s="93">
        <v>0.40822843538953602</v>
      </c>
      <c r="AA197" s="93">
        <v>0.42602466395932148</v>
      </c>
      <c r="AB197" s="93">
        <v>0.46651569087661626</v>
      </c>
      <c r="AC197" s="93">
        <v>0.50232243075547922</v>
      </c>
      <c r="AD197" s="93">
        <v>0.56632084738064226</v>
      </c>
      <c r="AE197" s="93">
        <v>0.60030389932941364</v>
      </c>
      <c r="AF197" s="93">
        <v>0.77154799692264397</v>
      </c>
      <c r="AG197" s="93">
        <v>1.201810150209637</v>
      </c>
      <c r="AH197" s="93">
        <v>1.3686653267028399</v>
      </c>
      <c r="AI197" s="93">
        <v>1.5642929107011154</v>
      </c>
      <c r="AJ197" s="93">
        <v>1.7501359695857213</v>
      </c>
      <c r="AK197" s="93">
        <v>1.9388172350629256</v>
      </c>
      <c r="AL197" s="93">
        <v>2.2554322449041155</v>
      </c>
      <c r="AM197" s="93">
        <v>2.460961065668668</v>
      </c>
      <c r="AN197" s="93">
        <v>2.7448842498720301</v>
      </c>
      <c r="AO197" s="93">
        <v>3.0312971388494065</v>
      </c>
      <c r="AP197" s="93">
        <v>3.1980326685174232</v>
      </c>
      <c r="AQ197" s="93">
        <v>3.3833597245408544</v>
      </c>
      <c r="AR197" s="93">
        <v>3.5276998858924093</v>
      </c>
      <c r="AS197" s="93">
        <v>3.674704892399002</v>
      </c>
      <c r="AT197" s="93">
        <v>3.8556254329237953</v>
      </c>
      <c r="AU197" s="93">
        <v>4.0882838566438107</v>
      </c>
      <c r="AV197" s="93">
        <v>4.2962843483251607</v>
      </c>
      <c r="AW197" s="93">
        <v>4.50161977718526</v>
      </c>
      <c r="AX197" s="93">
        <v>4.6350340745831042</v>
      </c>
      <c r="AY197" s="93">
        <v>4.8551100096157409</v>
      </c>
      <c r="AZ197" s="93">
        <v>4.6284161153089851</v>
      </c>
      <c r="BA197" s="93">
        <v>4.605416500288162</v>
      </c>
      <c r="BB197" s="93">
        <v>4.7431519040136694</v>
      </c>
      <c r="BC197" s="94">
        <v>4.7980206858079466</v>
      </c>
      <c r="BD197" s="48">
        <v>4.8789052900649832</v>
      </c>
      <c r="BE197" s="48">
        <v>4.9620282759085228</v>
      </c>
      <c r="BF197" s="48">
        <v>5.2006955162332682</v>
      </c>
      <c r="BG197" s="48">
        <v>5.4814380933606053</v>
      </c>
      <c r="BH197" s="48">
        <v>5.8482799912385932</v>
      </c>
      <c r="BI197" s="48">
        <v>5.930679436194235</v>
      </c>
      <c r="BJ197" s="48">
        <v>5.9164029544877135</v>
      </c>
    </row>
    <row r="198" spans="1:63" x14ac:dyDescent="0.25">
      <c r="A198" s="14" t="s">
        <v>177</v>
      </c>
      <c r="C198" s="6" t="s">
        <v>272</v>
      </c>
      <c r="D198" s="48">
        <f>SUM(D196:D197)</f>
        <v>1.2308395506145877</v>
      </c>
      <c r="E198" s="48">
        <f t="shared" ref="E198:M198" si="74">SUM(E196:E197)</f>
        <v>1.3121763129020338</v>
      </c>
      <c r="F198" s="48">
        <f t="shared" si="74"/>
        <v>1.3768824286042043</v>
      </c>
      <c r="G198" s="48">
        <f t="shared" si="74"/>
        <v>1.4519380102151371</v>
      </c>
      <c r="H198" s="48">
        <f t="shared" si="74"/>
        <v>1.59924448814461</v>
      </c>
      <c r="I198" s="48">
        <f t="shared" si="74"/>
        <v>1.7052490017166697</v>
      </c>
      <c r="J198" s="48">
        <f t="shared" si="74"/>
        <v>1.7894166864721899</v>
      </c>
      <c r="K198" s="48">
        <f t="shared" si="74"/>
        <v>1.8999827643366629</v>
      </c>
      <c r="L198" s="48">
        <f t="shared" si="74"/>
        <v>2.0065697131926372</v>
      </c>
      <c r="M198" s="48">
        <f t="shared" si="74"/>
        <v>2.0671126113882856</v>
      </c>
      <c r="N198" s="48">
        <f>N196+N197</f>
        <v>2.0357269624784853</v>
      </c>
      <c r="O198" s="48">
        <f t="shared" ref="O198:BJ198" si="75">O196+O197</f>
        <v>2.0993970416125816</v>
      </c>
      <c r="P198" s="48">
        <f t="shared" si="75"/>
        <v>2.1853228226655665</v>
      </c>
      <c r="Q198" s="48">
        <f t="shared" si="75"/>
        <v>2.3124275083402566</v>
      </c>
      <c r="R198" s="48">
        <f t="shared" si="75"/>
        <v>2.3261621465713667</v>
      </c>
      <c r="S198" s="48">
        <f t="shared" si="75"/>
        <v>2.2375011390833595</v>
      </c>
      <c r="T198" s="48">
        <f t="shared" si="75"/>
        <v>2.2826848497004417</v>
      </c>
      <c r="U198" s="48">
        <f t="shared" si="75"/>
        <v>2.3343535780880518</v>
      </c>
      <c r="V198" s="48">
        <f t="shared" si="75"/>
        <v>2.4172940726291845</v>
      </c>
      <c r="W198" s="48">
        <f t="shared" si="75"/>
        <v>2.444419199447764</v>
      </c>
      <c r="X198" s="48">
        <f t="shared" si="75"/>
        <v>2.4283039947973108</v>
      </c>
      <c r="Y198" s="48">
        <f t="shared" si="75"/>
        <v>2.3455478246429156</v>
      </c>
      <c r="Z198" s="48">
        <f t="shared" si="75"/>
        <v>2.3403067618238893</v>
      </c>
      <c r="AA198" s="48">
        <f t="shared" si="75"/>
        <v>2.3609732254084954</v>
      </c>
      <c r="AB198" s="48">
        <f t="shared" si="75"/>
        <v>2.4825679270491272</v>
      </c>
      <c r="AC198" s="48">
        <f t="shared" si="75"/>
        <v>2.5389107898357923</v>
      </c>
      <c r="AD198" s="48">
        <f t="shared" si="75"/>
        <v>2.7137051936273684</v>
      </c>
      <c r="AE198" s="48">
        <f t="shared" si="75"/>
        <v>2.8639421736651212</v>
      </c>
      <c r="AF198" s="48">
        <f t="shared" si="75"/>
        <v>3.1295480646155642</v>
      </c>
      <c r="AG198" s="48">
        <f t="shared" si="75"/>
        <v>3.7994197263446834</v>
      </c>
      <c r="AH198" s="48">
        <f t="shared" si="75"/>
        <v>3.6504524835043757</v>
      </c>
      <c r="AI198" s="48">
        <f t="shared" si="75"/>
        <v>3.7749868188480917</v>
      </c>
      <c r="AJ198" s="48">
        <f t="shared" si="75"/>
        <v>3.8189069838251384</v>
      </c>
      <c r="AK198" s="48">
        <f t="shared" si="75"/>
        <v>3.8852506663914701</v>
      </c>
      <c r="AL198" s="48">
        <f t="shared" si="75"/>
        <v>4.0519917320595571</v>
      </c>
      <c r="AM198" s="48">
        <f t="shared" si="75"/>
        <v>4.0530279543623431</v>
      </c>
      <c r="AN198" s="48">
        <f t="shared" si="75"/>
        <v>4.2541062111149266</v>
      </c>
      <c r="AO198" s="48">
        <f t="shared" si="75"/>
        <v>4.4345970026964645</v>
      </c>
      <c r="AP198" s="48">
        <f t="shared" si="75"/>
        <v>4.5127981113560125</v>
      </c>
      <c r="AQ198" s="48">
        <f t="shared" si="75"/>
        <v>4.497455781767167</v>
      </c>
      <c r="AR198" s="48">
        <f t="shared" si="75"/>
        <v>4.4930424954682131</v>
      </c>
      <c r="AS198" s="48">
        <f t="shared" si="75"/>
        <v>4.4975873153932771</v>
      </c>
      <c r="AT198" s="48">
        <f t="shared" si="75"/>
        <v>4.561637007037465</v>
      </c>
      <c r="AU198" s="48">
        <f t="shared" si="75"/>
        <v>4.6948410339235238</v>
      </c>
      <c r="AV198" s="48">
        <f t="shared" si="75"/>
        <v>4.8347811134391074</v>
      </c>
      <c r="AW198" s="48">
        <f t="shared" si="75"/>
        <v>4.9687631743976999</v>
      </c>
      <c r="AX198" s="48">
        <f t="shared" si="75"/>
        <v>5.0999547483544605</v>
      </c>
      <c r="AY198" s="48">
        <f t="shared" si="75"/>
        <v>5.2852798847053144</v>
      </c>
      <c r="AZ198" s="48">
        <f t="shared" si="75"/>
        <v>5.0160107434518437</v>
      </c>
      <c r="BA198" s="48">
        <f t="shared" si="75"/>
        <v>4.9451754822635632</v>
      </c>
      <c r="BB198" s="48">
        <f t="shared" si="75"/>
        <v>5.0494352872807315</v>
      </c>
      <c r="BC198" s="48">
        <f t="shared" si="75"/>
        <v>5.0796877762867254</v>
      </c>
      <c r="BD198" s="48">
        <f t="shared" si="75"/>
        <v>5.1364690114018954</v>
      </c>
      <c r="BE198" s="48">
        <f t="shared" si="75"/>
        <v>5.2023855020477834</v>
      </c>
      <c r="BF198" s="48">
        <f t="shared" si="75"/>
        <v>5.4284985710668971</v>
      </c>
      <c r="BG198" s="48">
        <f t="shared" si="75"/>
        <v>5.6956834432493064</v>
      </c>
      <c r="BH198" s="48">
        <f t="shared" si="75"/>
        <v>6.050069873562987</v>
      </c>
      <c r="BI198" s="48">
        <f t="shared" si="75"/>
        <v>6.1207939214069338</v>
      </c>
      <c r="BJ198" s="48">
        <f t="shared" si="75"/>
        <v>6.0959529718943601</v>
      </c>
      <c r="BK198" s="33" t="s">
        <v>264</v>
      </c>
    </row>
    <row r="199" spans="1:63" s="19" customFormat="1" x14ac:dyDescent="0.25">
      <c r="A199" s="6"/>
      <c r="C199" s="19" t="s">
        <v>273</v>
      </c>
      <c r="D199" s="97">
        <f t="shared" ref="D199:AI199" si="76">D129/D198</f>
        <v>12.157311643526784</v>
      </c>
      <c r="E199" s="97">
        <f t="shared" si="76"/>
        <v>12.507313109244713</v>
      </c>
      <c r="F199" s="97">
        <f t="shared" si="76"/>
        <v>12.036394434055165</v>
      </c>
      <c r="G199" s="97">
        <f t="shared" si="76"/>
        <v>12.079096956351007</v>
      </c>
      <c r="H199" s="97">
        <f t="shared" si="76"/>
        <v>11.067100828675537</v>
      </c>
      <c r="I199" s="97">
        <f t="shared" si="76"/>
        <v>11.133975144325927</v>
      </c>
      <c r="J199" s="97">
        <f t="shared" si="76"/>
        <v>10.610273249117302</v>
      </c>
      <c r="K199" s="97">
        <f t="shared" si="76"/>
        <v>9.8234575335825554</v>
      </c>
      <c r="L199" s="97">
        <f t="shared" si="76"/>
        <v>9.3818320271799642</v>
      </c>
      <c r="M199" s="97">
        <f t="shared" si="76"/>
        <v>9.340565140779935</v>
      </c>
      <c r="N199" s="97">
        <f t="shared" si="76"/>
        <v>9.9588011426233987</v>
      </c>
      <c r="O199" s="97">
        <f t="shared" si="76"/>
        <v>10.116619000132593</v>
      </c>
      <c r="P199" s="97">
        <f t="shared" si="76"/>
        <v>10.160604085448682</v>
      </c>
      <c r="Q199" s="97">
        <f t="shared" si="76"/>
        <v>10.089181137939953</v>
      </c>
      <c r="R199" s="97">
        <f t="shared" si="76"/>
        <v>10.16794982880371</v>
      </c>
      <c r="S199" s="97">
        <f t="shared" si="76"/>
        <v>10.498944375788678</v>
      </c>
      <c r="T199" s="97">
        <f t="shared" si="76"/>
        <v>10.573075824797826</v>
      </c>
      <c r="U199" s="97">
        <f t="shared" si="76"/>
        <v>10.476904711252567</v>
      </c>
      <c r="V199" s="97">
        <f t="shared" si="76"/>
        <v>10.450238672254052</v>
      </c>
      <c r="W199" s="97">
        <f t="shared" si="76"/>
        <v>10.268451501964396</v>
      </c>
      <c r="X199" s="97">
        <f t="shared" si="76"/>
        <v>10.734158513862551</v>
      </c>
      <c r="Y199" s="97">
        <f t="shared" si="76"/>
        <v>11.181481666865068</v>
      </c>
      <c r="Z199" s="97">
        <f t="shared" si="76"/>
        <v>11.137770665451541</v>
      </c>
      <c r="AA199" s="97">
        <f t="shared" si="76"/>
        <v>11.040277678494256</v>
      </c>
      <c r="AB199" s="97">
        <f t="shared" si="76"/>
        <v>11.082838741376978</v>
      </c>
      <c r="AC199" s="97">
        <f t="shared" si="76"/>
        <v>11.280506630897554</v>
      </c>
      <c r="AD199" s="97">
        <f t="shared" si="76"/>
        <v>11.02824288735524</v>
      </c>
      <c r="AE199" s="97">
        <f t="shared" si="76"/>
        <v>11.404804294005704</v>
      </c>
      <c r="AF199" s="97">
        <f t="shared" si="76"/>
        <v>11.567964208419065</v>
      </c>
      <c r="AG199" s="97">
        <f t="shared" si="76"/>
        <v>10.460097294445267</v>
      </c>
      <c r="AH199" s="97">
        <f t="shared" si="76"/>
        <v>10.931028462995789</v>
      </c>
      <c r="AI199" s="97">
        <f t="shared" si="76"/>
        <v>11.0392703338541</v>
      </c>
      <c r="AJ199" s="97">
        <f t="shared" ref="AJ199:BJ199" si="77">AJ129/AJ198</f>
        <v>10.785913397330875</v>
      </c>
      <c r="AK199" s="97">
        <f t="shared" si="77"/>
        <v>10.684561580309968</v>
      </c>
      <c r="AL199" s="97">
        <f t="shared" si="77"/>
        <v>10.681685171652722</v>
      </c>
      <c r="AM199" s="97">
        <f t="shared" si="77"/>
        <v>10.99654394241947</v>
      </c>
      <c r="AN199" s="97">
        <f t="shared" si="77"/>
        <v>10.854994611875822</v>
      </c>
      <c r="AO199" s="97">
        <f t="shared" si="77"/>
        <v>10.957433103944659</v>
      </c>
      <c r="AP199" s="97">
        <f t="shared" si="77"/>
        <v>11.266712745703174</v>
      </c>
      <c r="AQ199" s="97">
        <f t="shared" si="77"/>
        <v>11.484026193072612</v>
      </c>
      <c r="AR199" s="97">
        <f t="shared" si="77"/>
        <v>11.602739135581544</v>
      </c>
      <c r="AS199" s="97">
        <f t="shared" si="77"/>
        <v>11.877212437248474</v>
      </c>
      <c r="AT199" s="97">
        <f t="shared" si="77"/>
        <v>11.99262455903491</v>
      </c>
      <c r="AU199" s="97">
        <f t="shared" si="77"/>
        <v>12.234982949357875</v>
      </c>
      <c r="AV199" s="97">
        <f t="shared" si="77"/>
        <v>12.446602770232714</v>
      </c>
      <c r="AW199" s="97">
        <f t="shared" si="77"/>
        <v>12.434804765572165</v>
      </c>
      <c r="AX199" s="97">
        <f t="shared" si="77"/>
        <v>12.588170516751022</v>
      </c>
      <c r="AY199" s="97">
        <f t="shared" si="77"/>
        <v>12.755634795253401</v>
      </c>
      <c r="AZ199" s="97">
        <f t="shared" si="77"/>
        <v>13.344150047401628</v>
      </c>
      <c r="BA199" s="97">
        <f t="shared" si="77"/>
        <v>13.242462322090308</v>
      </c>
      <c r="BB199" s="97">
        <f t="shared" si="77"/>
        <v>13.192089057521684</v>
      </c>
      <c r="BC199" s="97">
        <f t="shared" si="77"/>
        <v>13.303573561247465</v>
      </c>
      <c r="BD199" s="97">
        <f t="shared" si="77"/>
        <v>13.21915889091836</v>
      </c>
      <c r="BE199" s="97">
        <f t="shared" si="77"/>
        <v>13.546516299543674</v>
      </c>
      <c r="BF199" s="97">
        <f t="shared" si="77"/>
        <v>13.812180111758567</v>
      </c>
      <c r="BG199" s="97">
        <f t="shared" si="77"/>
        <v>13.813987519487936</v>
      </c>
      <c r="BH199" s="97">
        <f t="shared" si="77"/>
        <v>13.749477566117891</v>
      </c>
      <c r="BI199" s="97">
        <f t="shared" si="77"/>
        <v>14.037492701641256</v>
      </c>
      <c r="BJ199" s="97">
        <f t="shared" si="77"/>
        <v>14.358640954672516</v>
      </c>
      <c r="BK199" s="33">
        <f>BA199/N199</f>
        <v>1.3297245453986353</v>
      </c>
    </row>
    <row r="200" spans="1:63" s="19" customFormat="1" x14ac:dyDescent="0.25">
      <c r="A200" s="6"/>
      <c r="C200" s="19" t="s">
        <v>274</v>
      </c>
      <c r="D200" s="97">
        <f t="shared" ref="D200:M200" si="78">(D196/(D196+D197*1.25))*(D129/D196)</f>
        <v>11.881031208012727</v>
      </c>
      <c r="E200" s="97">
        <f t="shared" si="78"/>
        <v>12.207921699025327</v>
      </c>
      <c r="F200" s="97">
        <f t="shared" si="78"/>
        <v>11.735810795238189</v>
      </c>
      <c r="G200" s="97">
        <f t="shared" si="78"/>
        <v>11.761627793286891</v>
      </c>
      <c r="H200" s="97">
        <f t="shared" si="78"/>
        <v>10.770426254637018</v>
      </c>
      <c r="I200" s="97">
        <f t="shared" si="78"/>
        <v>10.831787739381227</v>
      </c>
      <c r="J200" s="97">
        <f t="shared" si="78"/>
        <v>10.315949554426153</v>
      </c>
      <c r="K200" s="97">
        <f t="shared" si="78"/>
        <v>9.5458341483344888</v>
      </c>
      <c r="L200" s="97">
        <f t="shared" si="78"/>
        <v>9.1085778702075064</v>
      </c>
      <c r="M200" s="97">
        <f t="shared" si="78"/>
        <v>9.0590222532758613</v>
      </c>
      <c r="N200" s="97">
        <f>(N196/(N196+N197*1.25))*(N$129/N196)</f>
        <v>9.6566750276236544</v>
      </c>
      <c r="O200" s="97">
        <f t="shared" ref="O200:BJ200" si="79">(O196/(O196+O197*1.25))*(O129/O196)</f>
        <v>9.7956087190370074</v>
      </c>
      <c r="P200" s="97">
        <f t="shared" si="79"/>
        <v>9.8269270867196212</v>
      </c>
      <c r="Q200" s="97">
        <f t="shared" si="79"/>
        <v>9.7422584886251027</v>
      </c>
      <c r="R200" s="97">
        <f t="shared" si="79"/>
        <v>9.8084041109744682</v>
      </c>
      <c r="S200" s="97">
        <f t="shared" si="79"/>
        <v>10.126341373995313</v>
      </c>
      <c r="T200" s="97">
        <f t="shared" si="79"/>
        <v>10.205114698093507</v>
      </c>
      <c r="U200" s="97">
        <f t="shared" si="79"/>
        <v>10.091735404412258</v>
      </c>
      <c r="V200" s="97">
        <f t="shared" si="79"/>
        <v>10.06437798440823</v>
      </c>
      <c r="W200" s="97">
        <f t="shared" si="79"/>
        <v>9.8829421927427994</v>
      </c>
      <c r="X200" s="97">
        <f t="shared" si="79"/>
        <v>10.325629340503903</v>
      </c>
      <c r="Y200" s="97">
        <f t="shared" si="79"/>
        <v>10.739477845861595</v>
      </c>
      <c r="Z200" s="97">
        <f t="shared" si="79"/>
        <v>10.672365536113146</v>
      </c>
      <c r="AA200" s="97">
        <f t="shared" si="79"/>
        <v>10.563735644911894</v>
      </c>
      <c r="AB200" s="97">
        <f t="shared" si="79"/>
        <v>10.585539145468289</v>
      </c>
      <c r="AC200" s="97">
        <f t="shared" si="79"/>
        <v>10.748843110023556</v>
      </c>
      <c r="AD200" s="97">
        <f t="shared" si="79"/>
        <v>10.481404045508103</v>
      </c>
      <c r="AE200" s="97">
        <f t="shared" si="79"/>
        <v>10.836928774394663</v>
      </c>
      <c r="AF200" s="97">
        <f t="shared" si="79"/>
        <v>10.896375490959961</v>
      </c>
      <c r="AG200" s="97">
        <f t="shared" si="79"/>
        <v>9.6935459062871772</v>
      </c>
      <c r="AH200" s="97">
        <f t="shared" si="79"/>
        <v>9.9942423374569458</v>
      </c>
      <c r="AI200" s="97">
        <f t="shared" si="79"/>
        <v>10.003000325157752</v>
      </c>
      <c r="AJ200" s="97">
        <f t="shared" si="79"/>
        <v>9.6771928073497246</v>
      </c>
      <c r="AK200" s="97">
        <f t="shared" si="79"/>
        <v>9.4994571422344407</v>
      </c>
      <c r="AL200" s="97">
        <f t="shared" si="79"/>
        <v>9.376843254943001</v>
      </c>
      <c r="AM200" s="97">
        <f t="shared" si="79"/>
        <v>9.5472877504364551</v>
      </c>
      <c r="AN200" s="97">
        <f t="shared" si="79"/>
        <v>9.3472147578007601</v>
      </c>
      <c r="AO200" s="97">
        <f t="shared" si="79"/>
        <v>9.3582160056679164</v>
      </c>
      <c r="AP200" s="97">
        <f t="shared" si="79"/>
        <v>9.571059599089347</v>
      </c>
      <c r="AQ200" s="97">
        <f t="shared" si="79"/>
        <v>9.6661129713042353</v>
      </c>
      <c r="AR200" s="97">
        <f t="shared" si="79"/>
        <v>9.6989610301150453</v>
      </c>
      <c r="AS200" s="97">
        <f t="shared" si="79"/>
        <v>9.8626663234453265</v>
      </c>
      <c r="AT200" s="97">
        <f t="shared" si="79"/>
        <v>9.9005647741111424</v>
      </c>
      <c r="AU200" s="97">
        <f t="shared" si="79"/>
        <v>10.047609621985861</v>
      </c>
      <c r="AV200" s="97">
        <f t="shared" si="79"/>
        <v>10.184143714865673</v>
      </c>
      <c r="AW200" s="97">
        <f t="shared" si="79"/>
        <v>10.138479739420236</v>
      </c>
      <c r="AX200" s="97">
        <f t="shared" si="79"/>
        <v>10.25755570853468</v>
      </c>
      <c r="AY200" s="97">
        <f t="shared" si="79"/>
        <v>10.373365856673379</v>
      </c>
      <c r="AZ200" s="97">
        <f t="shared" si="79"/>
        <v>10.842889281854072</v>
      </c>
      <c r="BA200" s="97">
        <f t="shared" si="79"/>
        <v>10.741570076392984</v>
      </c>
      <c r="BB200" s="97">
        <f t="shared" si="79"/>
        <v>10.68327422888696</v>
      </c>
      <c r="BC200" s="97">
        <f t="shared" si="79"/>
        <v>10.762211093439397</v>
      </c>
      <c r="BD200" s="97">
        <f t="shared" si="79"/>
        <v>10.68245962135097</v>
      </c>
      <c r="BE200" s="97">
        <f t="shared" si="79"/>
        <v>10.938285750244816</v>
      </c>
      <c r="BF200" s="97">
        <f t="shared" si="79"/>
        <v>11.143267941153042</v>
      </c>
      <c r="BG200" s="97">
        <f t="shared" si="79"/>
        <v>11.134959180410453</v>
      </c>
      <c r="BH200" s="97">
        <f t="shared" si="79"/>
        <v>11.073449299979579</v>
      </c>
      <c r="BI200" s="97">
        <f t="shared" si="79"/>
        <v>11.300191923167528</v>
      </c>
      <c r="BJ200" s="97">
        <f t="shared" si="79"/>
        <v>11.554980775711794</v>
      </c>
      <c r="BK200" s="33">
        <f>BA200/N200</f>
        <v>1.112346645782933</v>
      </c>
    </row>
    <row r="201" spans="1:63" s="19" customFormat="1" x14ac:dyDescent="0.25">
      <c r="A201" s="6"/>
      <c r="C201" s="19" t="s">
        <v>275</v>
      </c>
      <c r="D201" s="97">
        <f t="shared" ref="D201:M201" si="80">(D197*1.25/(D196+D197*1.25))*(D129/D197)</f>
        <v>14.851289010015909</v>
      </c>
      <c r="E201" s="97">
        <f t="shared" si="80"/>
        <v>15.259902123781659</v>
      </c>
      <c r="F201" s="97">
        <f t="shared" si="80"/>
        <v>14.669763494047736</v>
      </c>
      <c r="G201" s="97">
        <f t="shared" si="80"/>
        <v>14.702034741608614</v>
      </c>
      <c r="H201" s="97">
        <f t="shared" si="80"/>
        <v>13.463032818296272</v>
      </c>
      <c r="I201" s="97">
        <f t="shared" si="80"/>
        <v>13.539734674226532</v>
      </c>
      <c r="J201" s="97">
        <f t="shared" si="80"/>
        <v>12.894936943032693</v>
      </c>
      <c r="K201" s="97">
        <f t="shared" si="80"/>
        <v>11.932292685418114</v>
      </c>
      <c r="L201" s="97">
        <f t="shared" si="80"/>
        <v>11.385722337759386</v>
      </c>
      <c r="M201" s="97">
        <f t="shared" si="80"/>
        <v>11.323777816594829</v>
      </c>
      <c r="N201" s="97">
        <f>(N197*1.25/(N196+N197*1.25))*(N$129/N197)</f>
        <v>12.070843784529567</v>
      </c>
      <c r="O201" s="97">
        <f t="shared" ref="O201:BJ201" si="81">(O197*1.25/(O196+O197*1.25))*(O129/O197)</f>
        <v>12.244510898796259</v>
      </c>
      <c r="P201" s="97">
        <f t="shared" si="81"/>
        <v>12.283658858399525</v>
      </c>
      <c r="Q201" s="97">
        <f t="shared" si="81"/>
        <v>12.177823110781377</v>
      </c>
      <c r="R201" s="97">
        <f t="shared" si="81"/>
        <v>12.260505138718086</v>
      </c>
      <c r="S201" s="97">
        <f t="shared" si="81"/>
        <v>12.657926717494142</v>
      </c>
      <c r="T201" s="97">
        <f t="shared" si="81"/>
        <v>12.756393372616884</v>
      </c>
      <c r="U201" s="97">
        <f t="shared" si="81"/>
        <v>12.61466925551532</v>
      </c>
      <c r="V201" s="97">
        <f t="shared" si="81"/>
        <v>12.580472480510288</v>
      </c>
      <c r="W201" s="97">
        <f t="shared" si="81"/>
        <v>12.353677740928498</v>
      </c>
      <c r="X201" s="97">
        <f t="shared" si="81"/>
        <v>12.907036675629879</v>
      </c>
      <c r="Y201" s="97">
        <f t="shared" si="81"/>
        <v>13.424347307326993</v>
      </c>
      <c r="Z201" s="97">
        <f t="shared" si="81"/>
        <v>13.340456920141433</v>
      </c>
      <c r="AA201" s="97">
        <f t="shared" si="81"/>
        <v>13.204669556139867</v>
      </c>
      <c r="AB201" s="97">
        <f t="shared" si="81"/>
        <v>13.231923931835361</v>
      </c>
      <c r="AC201" s="97">
        <f t="shared" si="81"/>
        <v>13.436053887529447</v>
      </c>
      <c r="AD201" s="97">
        <f t="shared" si="81"/>
        <v>13.101755056885127</v>
      </c>
      <c r="AE201" s="97">
        <f t="shared" si="81"/>
        <v>13.546160967993327</v>
      </c>
      <c r="AF201" s="97">
        <f t="shared" si="81"/>
        <v>13.620469363699952</v>
      </c>
      <c r="AG201" s="97">
        <f t="shared" si="81"/>
        <v>12.11693238285897</v>
      </c>
      <c r="AH201" s="97">
        <f t="shared" si="81"/>
        <v>12.49280292182118</v>
      </c>
      <c r="AI201" s="97">
        <f t="shared" si="81"/>
        <v>12.503750406447189</v>
      </c>
      <c r="AJ201" s="97">
        <f t="shared" si="81"/>
        <v>12.096491009187154</v>
      </c>
      <c r="AK201" s="97">
        <f t="shared" si="81"/>
        <v>11.874321427793049</v>
      </c>
      <c r="AL201" s="97">
        <f t="shared" si="81"/>
        <v>11.721054068678752</v>
      </c>
      <c r="AM201" s="97">
        <f t="shared" si="81"/>
        <v>11.93410968804557</v>
      </c>
      <c r="AN201" s="97">
        <f t="shared" si="81"/>
        <v>11.684018447250951</v>
      </c>
      <c r="AO201" s="97">
        <f t="shared" si="81"/>
        <v>11.697770007084898</v>
      </c>
      <c r="AP201" s="97">
        <f t="shared" si="81"/>
        <v>11.963824498861683</v>
      </c>
      <c r="AQ201" s="97">
        <f t="shared" si="81"/>
        <v>12.082641214130293</v>
      </c>
      <c r="AR201" s="97">
        <f t="shared" si="81"/>
        <v>12.123701287643808</v>
      </c>
      <c r="AS201" s="97">
        <f t="shared" si="81"/>
        <v>12.328332904306659</v>
      </c>
      <c r="AT201" s="97">
        <f t="shared" si="81"/>
        <v>12.375705967638931</v>
      </c>
      <c r="AU201" s="97">
        <f t="shared" si="81"/>
        <v>12.559512027482327</v>
      </c>
      <c r="AV201" s="97">
        <f t="shared" si="81"/>
        <v>12.73017964358209</v>
      </c>
      <c r="AW201" s="97">
        <f t="shared" si="81"/>
        <v>12.673099674275292</v>
      </c>
      <c r="AX201" s="97">
        <f t="shared" si="81"/>
        <v>12.821944635668347</v>
      </c>
      <c r="AY201" s="97">
        <f t="shared" si="81"/>
        <v>12.966707320841723</v>
      </c>
      <c r="AZ201" s="97">
        <f t="shared" si="81"/>
        <v>13.553611602317591</v>
      </c>
      <c r="BA201" s="97">
        <f t="shared" si="81"/>
        <v>13.426962595491229</v>
      </c>
      <c r="BB201" s="97">
        <f t="shared" si="81"/>
        <v>13.3540927861087</v>
      </c>
      <c r="BC201" s="97">
        <f t="shared" si="81"/>
        <v>13.452763866799247</v>
      </c>
      <c r="BD201" s="97">
        <f t="shared" si="81"/>
        <v>13.353074526688713</v>
      </c>
      <c r="BE201" s="97">
        <f t="shared" si="81"/>
        <v>13.672857187806018</v>
      </c>
      <c r="BF201" s="97">
        <f t="shared" si="81"/>
        <v>13.929084926441304</v>
      </c>
      <c r="BG201" s="97">
        <f t="shared" si="81"/>
        <v>13.918698975513067</v>
      </c>
      <c r="BH201" s="97">
        <f t="shared" si="81"/>
        <v>13.841811624974474</v>
      </c>
      <c r="BI201" s="97">
        <f t="shared" si="81"/>
        <v>14.125239903959411</v>
      </c>
      <c r="BJ201" s="97">
        <f t="shared" si="81"/>
        <v>14.44372596963974</v>
      </c>
      <c r="BK201" s="33">
        <f>BA201/N201</f>
        <v>1.1123466457829332</v>
      </c>
    </row>
    <row r="202" spans="1:63" s="19" customFormat="1" x14ac:dyDescent="0.25">
      <c r="A202" s="6"/>
      <c r="B202" s="98">
        <f>(N202/X202)^(1/10)</f>
        <v>0.99332441129095328</v>
      </c>
      <c r="C202" s="19" t="s">
        <v>276</v>
      </c>
      <c r="D202" s="99">
        <f t="shared" ref="D202:L203" si="82">E202*$B202</f>
        <v>13.198187025887085</v>
      </c>
      <c r="E202" s="99">
        <f t="shared" si="82"/>
        <v>13.286884804063495</v>
      </c>
      <c r="F202" s="99">
        <f t="shared" si="82"/>
        <v>13.376178671372299</v>
      </c>
      <c r="G202" s="99">
        <f t="shared" si="82"/>
        <v>13.466072633801708</v>
      </c>
      <c r="H202" s="99">
        <f t="shared" si="82"/>
        <v>13.556570724261984</v>
      </c>
      <c r="I202" s="99">
        <f t="shared" si="82"/>
        <v>13.647677002766368</v>
      </c>
      <c r="J202" s="99">
        <f t="shared" si="82"/>
        <v>13.739395556613223</v>
      </c>
      <c r="K202" s="99">
        <f t="shared" si="82"/>
        <v>13.831730500569401</v>
      </c>
      <c r="L202" s="99">
        <f t="shared" si="82"/>
        <v>13.92468597705485</v>
      </c>
      <c r="M202" s="99">
        <f>N202*$B202</f>
        <v>14.018266156328448</v>
      </c>
      <c r="N202" s="95">
        <f t="shared" ref="N202:AS202" si="83">(N121*(N196*N200/(N$196*N$200+N$197*N$201))*1000000000/1.609)/(N196*1000000*$N$5)</f>
        <v>14.112475236675097</v>
      </c>
      <c r="O202" s="95">
        <f t="shared" si="83"/>
        <v>14.315515959698503</v>
      </c>
      <c r="P202" s="95">
        <f t="shared" si="83"/>
        <v>14.361285304437729</v>
      </c>
      <c r="Q202" s="95">
        <f t="shared" si="83"/>
        <v>14.237548770846731</v>
      </c>
      <c r="R202" s="95">
        <f t="shared" si="83"/>
        <v>14.334215424197868</v>
      </c>
      <c r="S202" s="95">
        <f t="shared" si="83"/>
        <v>14.798855866002407</v>
      </c>
      <c r="T202" s="95">
        <f t="shared" si="83"/>
        <v>14.913976917758454</v>
      </c>
      <c r="U202" s="95">
        <f t="shared" si="83"/>
        <v>14.748281948232068</v>
      </c>
      <c r="V202" s="95">
        <f t="shared" si="83"/>
        <v>14.708301218711632</v>
      </c>
      <c r="W202" s="95">
        <f t="shared" si="83"/>
        <v>14.443147000556786</v>
      </c>
      <c r="X202" s="95">
        <f t="shared" si="83"/>
        <v>15.090099641346885</v>
      </c>
      <c r="Y202" s="95">
        <f t="shared" si="83"/>
        <v>15.694906861936628</v>
      </c>
      <c r="Z202" s="95">
        <f t="shared" si="83"/>
        <v>15.59682747056312</v>
      </c>
      <c r="AA202" s="95">
        <f t="shared" si="83"/>
        <v>15.438073381277212</v>
      </c>
      <c r="AB202" s="95">
        <f t="shared" si="83"/>
        <v>15.469937491935877</v>
      </c>
      <c r="AC202" s="95">
        <f t="shared" si="83"/>
        <v>15.708593462986421</v>
      </c>
      <c r="AD202" s="95">
        <f t="shared" si="83"/>
        <v>15.31775218847967</v>
      </c>
      <c r="AE202" s="95">
        <f t="shared" si="83"/>
        <v>15.837323771667965</v>
      </c>
      <c r="AF202" s="95">
        <f t="shared" si="83"/>
        <v>15.924200498184033</v>
      </c>
      <c r="AG202" s="95">
        <f t="shared" si="83"/>
        <v>14.166359141912137</v>
      </c>
      <c r="AH202" s="95">
        <f t="shared" si="83"/>
        <v>14.605803456492563</v>
      </c>
      <c r="AI202" s="95">
        <f t="shared" si="83"/>
        <v>14.618602570493724</v>
      </c>
      <c r="AJ202" s="95">
        <f t="shared" si="83"/>
        <v>14.142460366905471</v>
      </c>
      <c r="AK202" s="95">
        <f t="shared" si="83"/>
        <v>13.882713594290852</v>
      </c>
      <c r="AL202" s="95">
        <f t="shared" si="83"/>
        <v>13.703522988505425</v>
      </c>
      <c r="AM202" s="95">
        <f t="shared" si="83"/>
        <v>13.952614287011185</v>
      </c>
      <c r="AN202" s="95">
        <f t="shared" si="83"/>
        <v>13.66022325738434</v>
      </c>
      <c r="AO202" s="95">
        <f t="shared" si="83"/>
        <v>13.676300720657535</v>
      </c>
      <c r="AP202" s="95">
        <f t="shared" si="83"/>
        <v>13.987354984454594</v>
      </c>
      <c r="AQ202" s="95">
        <f t="shared" si="83"/>
        <v>14.126268053156576</v>
      </c>
      <c r="AR202" s="95">
        <f t="shared" si="83"/>
        <v>14.174272921831802</v>
      </c>
      <c r="AS202" s="95">
        <f t="shared" si="83"/>
        <v>14.413515403496298</v>
      </c>
      <c r="AT202" s="95">
        <f t="shared" ref="AT202:BJ202" si="84">(AT121*(AT196*AT200/(AT$196*AT$200+AT$197*AT$201))*1000000000/1.609)/(AT196*1000000*$N$5)</f>
        <v>14.468901024841088</v>
      </c>
      <c r="AU202" s="95">
        <f t="shared" si="84"/>
        <v>14.68379556860242</v>
      </c>
      <c r="AV202" s="95">
        <f t="shared" si="84"/>
        <v>14.883329466058466</v>
      </c>
      <c r="AW202" s="95">
        <f t="shared" si="84"/>
        <v>14.816595137644356</v>
      </c>
      <c r="AX202" s="95">
        <f t="shared" si="84"/>
        <v>14.990615352739463</v>
      </c>
      <c r="AY202" s="95">
        <f t="shared" si="84"/>
        <v>15.159862825921262</v>
      </c>
      <c r="AZ202" s="95">
        <f t="shared" si="84"/>
        <v>15.846034587106846</v>
      </c>
      <c r="BA202" s="95">
        <f t="shared" si="84"/>
        <v>15.69796449321025</v>
      </c>
      <c r="BB202" s="95">
        <f t="shared" si="84"/>
        <v>15.612769671806783</v>
      </c>
      <c r="BC202" s="95">
        <f t="shared" si="84"/>
        <v>15.728129725145047</v>
      </c>
      <c r="BD202" s="95">
        <f t="shared" si="84"/>
        <v>15.611579186609092</v>
      </c>
      <c r="BE202" s="95">
        <f t="shared" si="84"/>
        <v>15.985449064033896</v>
      </c>
      <c r="BF202" s="95">
        <f t="shared" si="84"/>
        <v>16.28501450295326</v>
      </c>
      <c r="BG202" s="95">
        <f t="shared" si="84"/>
        <v>16.272871899014341</v>
      </c>
      <c r="BH202" s="95">
        <f t="shared" si="84"/>
        <v>16.182980019883235</v>
      </c>
      <c r="BI202" s="95">
        <f t="shared" si="84"/>
        <v>16.514346628543581</v>
      </c>
      <c r="BJ202" s="95">
        <f t="shared" si="84"/>
        <v>16.886700607716126</v>
      </c>
      <c r="BK202" s="33"/>
    </row>
    <row r="203" spans="1:63" s="19" customFormat="1" x14ac:dyDescent="0.25">
      <c r="A203" s="6"/>
      <c r="B203" s="98">
        <f>(N203/X203)^(1/10)</f>
        <v>0.99332441129095328</v>
      </c>
      <c r="C203" s="19" t="s">
        <v>277</v>
      </c>
      <c r="D203" s="99">
        <f t="shared" si="82"/>
        <v>16.49773378235885</v>
      </c>
      <c r="E203" s="99">
        <f t="shared" si="82"/>
        <v>16.608606005079363</v>
      </c>
      <c r="F203" s="99">
        <f t="shared" si="82"/>
        <v>16.720223339215369</v>
      </c>
      <c r="G203" s="99">
        <f t="shared" si="82"/>
        <v>16.83259079225213</v>
      </c>
      <c r="H203" s="99">
        <f t="shared" si="82"/>
        <v>16.945713405327474</v>
      </c>
      <c r="I203" s="99">
        <f t="shared" si="82"/>
        <v>17.059596253457954</v>
      </c>
      <c r="J203" s="99">
        <f t="shared" si="82"/>
        <v>17.174244445766522</v>
      </c>
      <c r="K203" s="99">
        <f t="shared" si="82"/>
        <v>17.289663125711744</v>
      </c>
      <c r="L203" s="99">
        <f t="shared" si="82"/>
        <v>17.405857471318555</v>
      </c>
      <c r="M203" s="99">
        <f>N203*$B203</f>
        <v>17.522832695410553</v>
      </c>
      <c r="N203" s="95">
        <f t="shared" ref="N203:AS203" si="85">(N$121*(N197*N201/(N$196*N$200+N$197*N$201))*1000000000/1.609)/(N197*1000000*$N$5)</f>
        <v>17.640594045843866</v>
      </c>
      <c r="O203" s="95">
        <f t="shared" si="85"/>
        <v>17.894394949623134</v>
      </c>
      <c r="P203" s="95">
        <f t="shared" si="85"/>
        <v>17.951606630547165</v>
      </c>
      <c r="Q203" s="95">
        <f t="shared" si="85"/>
        <v>17.796935963558415</v>
      </c>
      <c r="R203" s="95">
        <f t="shared" si="85"/>
        <v>17.917769280247338</v>
      </c>
      <c r="S203" s="95">
        <f t="shared" si="85"/>
        <v>18.498569832503012</v>
      </c>
      <c r="T203" s="95">
        <f t="shared" si="85"/>
        <v>18.642471147198066</v>
      </c>
      <c r="U203" s="95">
        <f t="shared" si="85"/>
        <v>18.435352435290078</v>
      </c>
      <c r="V203" s="95">
        <f t="shared" si="85"/>
        <v>18.385376523389539</v>
      </c>
      <c r="W203" s="95">
        <f t="shared" si="85"/>
        <v>18.053933750695982</v>
      </c>
      <c r="X203" s="95">
        <f t="shared" si="85"/>
        <v>18.862624551683606</v>
      </c>
      <c r="Y203" s="95">
        <f t="shared" si="85"/>
        <v>19.618633577420788</v>
      </c>
      <c r="Z203" s="95">
        <f t="shared" si="85"/>
        <v>19.496034338203906</v>
      </c>
      <c r="AA203" s="95">
        <f t="shared" si="85"/>
        <v>19.297591726596512</v>
      </c>
      <c r="AB203" s="95">
        <f t="shared" si="85"/>
        <v>19.337421864919847</v>
      </c>
      <c r="AC203" s="95">
        <f t="shared" si="85"/>
        <v>19.635741828733028</v>
      </c>
      <c r="AD203" s="95">
        <f t="shared" si="85"/>
        <v>19.147190235599584</v>
      </c>
      <c r="AE203" s="95">
        <f t="shared" si="85"/>
        <v>19.79665471458495</v>
      </c>
      <c r="AF203" s="95">
        <f t="shared" si="85"/>
        <v>19.905250622730037</v>
      </c>
      <c r="AG203" s="95">
        <f t="shared" si="85"/>
        <v>17.707948927390181</v>
      </c>
      <c r="AH203" s="95">
        <f t="shared" si="85"/>
        <v>18.257254320615697</v>
      </c>
      <c r="AI203" s="95">
        <f t="shared" si="85"/>
        <v>18.273253213117158</v>
      </c>
      <c r="AJ203" s="95">
        <f t="shared" si="85"/>
        <v>17.678075458631842</v>
      </c>
      <c r="AK203" s="95">
        <f t="shared" si="85"/>
        <v>17.353391992863564</v>
      </c>
      <c r="AL203" s="95">
        <f t="shared" si="85"/>
        <v>17.129403735631783</v>
      </c>
      <c r="AM203" s="95">
        <f t="shared" si="85"/>
        <v>17.440767858763987</v>
      </c>
      <c r="AN203" s="95">
        <f t="shared" si="85"/>
        <v>17.075279071730428</v>
      </c>
      <c r="AO203" s="95">
        <f t="shared" si="85"/>
        <v>17.095375900821924</v>
      </c>
      <c r="AP203" s="95">
        <f t="shared" si="85"/>
        <v>17.484193730568236</v>
      </c>
      <c r="AQ203" s="95">
        <f t="shared" si="85"/>
        <v>17.65783506644572</v>
      </c>
      <c r="AR203" s="95">
        <f t="shared" si="85"/>
        <v>17.717841152289754</v>
      </c>
      <c r="AS203" s="95">
        <f t="shared" si="85"/>
        <v>18.016894254370371</v>
      </c>
      <c r="AT203" s="95">
        <f t="shared" ref="AT203:BJ203" si="86">(AT$121*(AT197*AT201/(AT$196*AT$200+AT$197*AT$201))*1000000000/1.609)/(AT197*1000000*$N$5)</f>
        <v>18.086126281051371</v>
      </c>
      <c r="AU203" s="95">
        <f t="shared" si="86"/>
        <v>18.354744460753025</v>
      </c>
      <c r="AV203" s="95">
        <f t="shared" si="86"/>
        <v>18.604161832573084</v>
      </c>
      <c r="AW203" s="95">
        <f t="shared" si="86"/>
        <v>18.520743922055434</v>
      </c>
      <c r="AX203" s="95">
        <f t="shared" si="86"/>
        <v>18.738269190924321</v>
      </c>
      <c r="AY203" s="95">
        <f t="shared" si="86"/>
        <v>18.949828532401575</v>
      </c>
      <c r="AZ203" s="95">
        <f t="shared" si="86"/>
        <v>19.807543233883564</v>
      </c>
      <c r="BA203" s="95">
        <f t="shared" si="86"/>
        <v>19.622455616512809</v>
      </c>
      <c r="BB203" s="95">
        <f t="shared" si="86"/>
        <v>19.515962089758471</v>
      </c>
      <c r="BC203" s="95">
        <f t="shared" si="86"/>
        <v>19.660162156431308</v>
      </c>
      <c r="BD203" s="95">
        <f t="shared" si="86"/>
        <v>19.514473983261365</v>
      </c>
      <c r="BE203" s="95">
        <f t="shared" si="86"/>
        <v>19.981811330042369</v>
      </c>
      <c r="BF203" s="95">
        <f t="shared" si="86"/>
        <v>20.356268128691578</v>
      </c>
      <c r="BG203" s="95">
        <f t="shared" si="86"/>
        <v>20.341089873767928</v>
      </c>
      <c r="BH203" s="95">
        <f t="shared" si="86"/>
        <v>20.228725024854047</v>
      </c>
      <c r="BI203" s="95">
        <f t="shared" si="86"/>
        <v>20.642933285679476</v>
      </c>
      <c r="BJ203" s="95">
        <f t="shared" si="86"/>
        <v>21.108375759645153</v>
      </c>
      <c r="BK203" s="33"/>
    </row>
    <row r="204" spans="1:63" s="19" customFormat="1" x14ac:dyDescent="0.25">
      <c r="A204" s="6"/>
      <c r="C204" s="19" t="s">
        <v>268</v>
      </c>
      <c r="D204" s="100">
        <f t="shared" ref="D204:L204" si="87">E204+0.001</f>
        <v>0.13711887452143248</v>
      </c>
      <c r="E204" s="100">
        <f t="shared" si="87"/>
        <v>0.13611887452143248</v>
      </c>
      <c r="F204" s="100">
        <f t="shared" si="87"/>
        <v>0.13511887452143248</v>
      </c>
      <c r="G204" s="100">
        <f t="shared" si="87"/>
        <v>0.13411887452143248</v>
      </c>
      <c r="H204" s="100">
        <f t="shared" si="87"/>
        <v>0.13311887452143248</v>
      </c>
      <c r="I204" s="100">
        <f t="shared" si="87"/>
        <v>0.13211887452143248</v>
      </c>
      <c r="J204" s="100">
        <f t="shared" si="87"/>
        <v>0.13111887452143248</v>
      </c>
      <c r="K204" s="100">
        <f t="shared" si="87"/>
        <v>0.13011887452143248</v>
      </c>
      <c r="L204" s="100">
        <f t="shared" si="87"/>
        <v>0.12911887452143248</v>
      </c>
      <c r="M204" s="100">
        <f>N204+0.001</f>
        <v>0.12811887452143247</v>
      </c>
      <c r="N204" s="46">
        <f t="shared" ref="N204:BJ204" si="88">N196/N$239</f>
        <v>0.12711887452143247</v>
      </c>
      <c r="O204" s="46">
        <f t="shared" si="88"/>
        <v>0.12376750508196833</v>
      </c>
      <c r="P204" s="46">
        <f t="shared" si="88"/>
        <v>0.12051892423573635</v>
      </c>
      <c r="Q204" s="46">
        <f t="shared" si="88"/>
        <v>0.11885731038286788</v>
      </c>
      <c r="R204" s="46">
        <f t="shared" si="88"/>
        <v>0.12221824334822075</v>
      </c>
      <c r="S204" s="46">
        <f t="shared" si="88"/>
        <v>0.12007222631481326</v>
      </c>
      <c r="T204" s="46">
        <f t="shared" si="88"/>
        <v>0.11737753687052321</v>
      </c>
      <c r="U204" s="46">
        <f t="shared" si="88"/>
        <v>0.11569923565959249</v>
      </c>
      <c r="V204" s="46">
        <f t="shared" si="88"/>
        <v>0.11303555352087326</v>
      </c>
      <c r="W204" s="46">
        <f t="shared" si="88"/>
        <v>0.11186468316826041</v>
      </c>
      <c r="X204" s="46">
        <f t="shared" si="88"/>
        <v>0.10807384417273282</v>
      </c>
      <c r="Y204" s="46">
        <f t="shared" si="88"/>
        <v>0.10595713087851166</v>
      </c>
      <c r="Z204" s="46">
        <f t="shared" si="88"/>
        <v>0.10158199804262996</v>
      </c>
      <c r="AA204" s="46">
        <f t="shared" si="88"/>
        <v>0.10007822699058916</v>
      </c>
      <c r="AB204" s="46">
        <f t="shared" si="88"/>
        <v>0.10086473199289615</v>
      </c>
      <c r="AC204" s="46">
        <f t="shared" si="88"/>
        <v>0.10102639745088747</v>
      </c>
      <c r="AD204" s="46">
        <f t="shared" si="88"/>
        <v>0.1011861837414557</v>
      </c>
      <c r="AE204" s="46">
        <f t="shared" si="88"/>
        <v>0.1032320060472741</v>
      </c>
      <c r="AF204" s="46">
        <f t="shared" si="88"/>
        <v>0.10260947612688107</v>
      </c>
      <c r="AG204" s="46">
        <f t="shared" si="88"/>
        <v>0.10984810408412049</v>
      </c>
      <c r="AH204" s="46">
        <f t="shared" si="88"/>
        <v>9.4942650205223758E-2</v>
      </c>
      <c r="AI204" s="46">
        <f t="shared" si="88"/>
        <v>9.3089373541429571E-2</v>
      </c>
      <c r="AJ204" s="46">
        <f t="shared" si="88"/>
        <v>8.704053981605557E-2</v>
      </c>
      <c r="AK204" s="46">
        <f t="shared" si="88"/>
        <v>8.2882213186865034E-2</v>
      </c>
      <c r="AL204" s="46">
        <f t="shared" si="88"/>
        <v>7.9667742936146341E-2</v>
      </c>
      <c r="AM204" s="46">
        <f t="shared" si="88"/>
        <v>7.3520595788542142E-2</v>
      </c>
      <c r="AN204" s="46">
        <f t="shared" si="88"/>
        <v>6.8267271146158007E-2</v>
      </c>
      <c r="AO204" s="46">
        <f t="shared" si="88"/>
        <v>6.3941363015874358E-2</v>
      </c>
      <c r="AP204" s="46">
        <f t="shared" si="88"/>
        <v>6.1036190102863909E-2</v>
      </c>
      <c r="AQ204" s="46">
        <f t="shared" si="88"/>
        <v>5.1874957677098182E-2</v>
      </c>
      <c r="AR204" s="46">
        <f t="shared" si="88"/>
        <v>4.5774027228395874E-2</v>
      </c>
      <c r="AS204" s="46">
        <f t="shared" si="88"/>
        <v>3.990117525925628E-2</v>
      </c>
      <c r="AT204" s="46">
        <f t="shared" si="88"/>
        <v>3.4462125674103353E-2</v>
      </c>
      <c r="AU204" s="46">
        <f t="shared" si="88"/>
        <v>3.0959667094298076E-2</v>
      </c>
      <c r="AV204" s="46">
        <f t="shared" si="88"/>
        <v>2.8138215292691639E-2</v>
      </c>
      <c r="AW204" s="46">
        <f t="shared" si="88"/>
        <v>2.5243883100493178E-2</v>
      </c>
      <c r="AX204" s="46">
        <f t="shared" si="88"/>
        <v>2.6215052543717896E-2</v>
      </c>
      <c r="AY204" s="46">
        <f t="shared" si="88"/>
        <v>2.4940839873471385E-2</v>
      </c>
      <c r="AZ204" s="46">
        <f t="shared" si="88"/>
        <v>2.3955530219996784E-2</v>
      </c>
      <c r="BA204" s="46">
        <f t="shared" si="88"/>
        <v>2.2254696362633272E-2</v>
      </c>
      <c r="BB204" s="46">
        <f t="shared" si="88"/>
        <v>2.1514869753916359E-2</v>
      </c>
      <c r="BC204" s="46">
        <f t="shared" si="88"/>
        <v>2.0826006432458046E-2</v>
      </c>
      <c r="BD204" s="46">
        <f t="shared" si="88"/>
        <v>2.0004437457263238E-2</v>
      </c>
      <c r="BE204" s="46">
        <f t="shared" si="88"/>
        <v>1.9677702040829546E-2</v>
      </c>
      <c r="BF204" s="46">
        <f t="shared" si="88"/>
        <v>1.9069081783133917E-2</v>
      </c>
      <c r="BG204" s="46">
        <f t="shared" si="88"/>
        <v>1.8337106645737466E-2</v>
      </c>
      <c r="BH204" s="46">
        <f t="shared" si="88"/>
        <v>1.7496559898707582E-2</v>
      </c>
      <c r="BI204" s="46">
        <f t="shared" si="88"/>
        <v>1.6738365778232421E-2</v>
      </c>
      <c r="BJ204" s="46">
        <f t="shared" si="88"/>
        <v>1.6109655820553029E-2</v>
      </c>
      <c r="BK204" s="33"/>
    </row>
    <row r="205" spans="1:63" s="19" customFormat="1" x14ac:dyDescent="0.25">
      <c r="A205" s="6"/>
      <c r="C205" s="19" t="s">
        <v>269</v>
      </c>
      <c r="D205" s="100">
        <f t="shared" ref="D205:M205" si="89">0.18-D204</f>
        <v>4.2881125478567511E-2</v>
      </c>
      <c r="E205" s="100">
        <f t="shared" si="89"/>
        <v>4.3881125478567512E-2</v>
      </c>
      <c r="F205" s="100">
        <f t="shared" si="89"/>
        <v>4.4881125478567513E-2</v>
      </c>
      <c r="G205" s="100">
        <f t="shared" si="89"/>
        <v>4.5881125478567514E-2</v>
      </c>
      <c r="H205" s="100">
        <f t="shared" si="89"/>
        <v>4.6881125478567515E-2</v>
      </c>
      <c r="I205" s="100">
        <f t="shared" si="89"/>
        <v>4.7881125478567516E-2</v>
      </c>
      <c r="J205" s="100">
        <f t="shared" si="89"/>
        <v>4.8881125478567516E-2</v>
      </c>
      <c r="K205" s="100">
        <f t="shared" si="89"/>
        <v>4.9881125478567517E-2</v>
      </c>
      <c r="L205" s="100">
        <f t="shared" si="89"/>
        <v>5.0881125478567518E-2</v>
      </c>
      <c r="M205" s="100">
        <f t="shared" si="89"/>
        <v>5.1881125478567519E-2</v>
      </c>
      <c r="N205" s="46">
        <f t="shared" ref="N205:BJ205" si="90">N197/N$240</f>
        <v>5.3017391847265873E-2</v>
      </c>
      <c r="O205" s="46">
        <f t="shared" si="90"/>
        <v>5.550291014908925E-2</v>
      </c>
      <c r="P205" s="46">
        <f t="shared" si="90"/>
        <v>5.91128004999888E-2</v>
      </c>
      <c r="Q205" s="46">
        <f t="shared" si="90"/>
        <v>6.0944943945290264E-2</v>
      </c>
      <c r="R205" s="46">
        <f t="shared" si="90"/>
        <v>6.4760461912404949E-2</v>
      </c>
      <c r="S205" s="46">
        <f t="shared" si="90"/>
        <v>6.3598300561364438E-2</v>
      </c>
      <c r="T205" s="46">
        <f t="shared" si="90"/>
        <v>6.1495772388800829E-2</v>
      </c>
      <c r="U205" s="46">
        <f t="shared" si="90"/>
        <v>6.5204757268092176E-2</v>
      </c>
      <c r="V205" s="46">
        <f t="shared" si="90"/>
        <v>6.5873856717783064E-2</v>
      </c>
      <c r="W205" s="46">
        <f t="shared" si="90"/>
        <v>6.5652513984876384E-2</v>
      </c>
      <c r="X205" s="46">
        <f t="shared" si="90"/>
        <v>6.8318588836621105E-2</v>
      </c>
      <c r="Y205" s="46">
        <f t="shared" si="90"/>
        <v>7.2419160556797035E-2</v>
      </c>
      <c r="Z205" s="46">
        <f t="shared" si="90"/>
        <v>7.4048747582575083E-2</v>
      </c>
      <c r="AA205" s="46">
        <f t="shared" si="90"/>
        <v>7.1486835523960887E-2</v>
      </c>
      <c r="AB205" s="46">
        <f t="shared" si="90"/>
        <v>7.1519876476662803E-2</v>
      </c>
      <c r="AC205" s="46">
        <f t="shared" si="90"/>
        <v>7.3152037248034527E-2</v>
      </c>
      <c r="AD205" s="46">
        <f t="shared" si="90"/>
        <v>7.4294780575275846E-2</v>
      </c>
      <c r="AE205" s="46">
        <f t="shared" si="90"/>
        <v>7.3081411631714097E-2</v>
      </c>
      <c r="AF205" s="46">
        <f t="shared" si="90"/>
        <v>8.4808387607961888E-2</v>
      </c>
      <c r="AG205" s="46">
        <f t="shared" si="90"/>
        <v>0.12220191127635543</v>
      </c>
      <c r="AH205" s="46">
        <f t="shared" si="90"/>
        <v>0.13201462919078999</v>
      </c>
      <c r="AI205" s="46">
        <f t="shared" si="90"/>
        <v>0.15011607492967566</v>
      </c>
      <c r="AJ205" s="46">
        <f t="shared" si="90"/>
        <v>0.16121468756763496</v>
      </c>
      <c r="AK205" s="46">
        <f t="shared" si="90"/>
        <v>0.16824627590052929</v>
      </c>
      <c r="AL205" s="46">
        <f t="shared" si="90"/>
        <v>0.17875177495743225</v>
      </c>
      <c r="AM205" s="46">
        <f t="shared" si="90"/>
        <v>0.18708972367790405</v>
      </c>
      <c r="AN205" s="46">
        <f t="shared" si="90"/>
        <v>0.19524011739079794</v>
      </c>
      <c r="AO205" s="46">
        <f t="shared" si="90"/>
        <v>0.20667323229658446</v>
      </c>
      <c r="AP205" s="46">
        <f t="shared" si="90"/>
        <v>0.21562882384566748</v>
      </c>
      <c r="AQ205" s="46">
        <f t="shared" si="90"/>
        <v>0.22268746598675834</v>
      </c>
      <c r="AR205" s="46">
        <f t="shared" si="90"/>
        <v>0.23035656865698542</v>
      </c>
      <c r="AS205" s="46">
        <f t="shared" si="90"/>
        <v>0.23348470419375628</v>
      </c>
      <c r="AT205" s="46">
        <f t="shared" si="90"/>
        <v>0.23224725842680718</v>
      </c>
      <c r="AU205" s="46">
        <f t="shared" si="90"/>
        <v>0.23518768030810955</v>
      </c>
      <c r="AV205" s="46">
        <f t="shared" si="90"/>
        <v>0.23658679833725402</v>
      </c>
      <c r="AW205" s="46">
        <f t="shared" si="90"/>
        <v>0.23662796344829443</v>
      </c>
      <c r="AX205" s="46">
        <f t="shared" si="90"/>
        <v>0.23412931609165746</v>
      </c>
      <c r="AY205" s="46">
        <f t="shared" si="90"/>
        <v>0.23498327393949403</v>
      </c>
      <c r="AZ205" s="46">
        <f t="shared" si="90"/>
        <v>0.22987851852146918</v>
      </c>
      <c r="BA205" s="46">
        <f t="shared" si="90"/>
        <v>0.23293258092988967</v>
      </c>
      <c r="BB205" s="46">
        <f t="shared" si="90"/>
        <v>0.23278920055093485</v>
      </c>
      <c r="BC205" s="46">
        <f t="shared" si="90"/>
        <v>0.23269422112495686</v>
      </c>
      <c r="BD205" s="46">
        <f t="shared" si="90"/>
        <v>0.23028727302983634</v>
      </c>
      <c r="BE205" s="46">
        <f t="shared" si="90"/>
        <v>0.23005523368082775</v>
      </c>
      <c r="BF205" s="46">
        <f t="shared" si="90"/>
        <v>0.23330566365930216</v>
      </c>
      <c r="BG205" s="46">
        <f t="shared" si="90"/>
        <v>0.23567536535154296</v>
      </c>
      <c r="BH205" s="46">
        <f t="shared" si="90"/>
        <v>0.24146305980764604</v>
      </c>
      <c r="BI205" s="46">
        <f t="shared" si="90"/>
        <v>0.24250507552659398</v>
      </c>
      <c r="BJ205" s="46">
        <f t="shared" si="90"/>
        <v>0.24475855813439826</v>
      </c>
      <c r="BK205" s="33"/>
    </row>
    <row r="206" spans="1:63" s="19" customFormat="1" x14ac:dyDescent="0.25">
      <c r="A206" s="6"/>
      <c r="N206" s="97"/>
      <c r="O206" s="97"/>
      <c r="P206" s="97"/>
      <c r="Q206" s="97"/>
      <c r="R206" s="97"/>
      <c r="S206" s="97"/>
      <c r="T206" s="97"/>
      <c r="U206" s="97"/>
      <c r="V206" s="97"/>
      <c r="W206" s="97"/>
      <c r="X206" s="97"/>
      <c r="Y206" s="97"/>
      <c r="Z206" s="97"/>
      <c r="AA206" s="97"/>
      <c r="AB206" s="97"/>
      <c r="AC206" s="97"/>
      <c r="AD206" s="97"/>
      <c r="AE206" s="97"/>
      <c r="AF206" s="97"/>
      <c r="AG206" s="97"/>
      <c r="AH206" s="97"/>
      <c r="AI206" s="97"/>
      <c r="AJ206" s="97"/>
      <c r="AK206" s="97"/>
      <c r="AL206" s="97"/>
      <c r="AM206" s="97"/>
      <c r="AN206" s="97"/>
      <c r="AO206" s="97"/>
      <c r="AP206" s="97"/>
      <c r="AQ206" s="97"/>
      <c r="AR206" s="97"/>
      <c r="AS206" s="97"/>
      <c r="AT206" s="97"/>
      <c r="AU206" s="97"/>
      <c r="AV206" s="97"/>
      <c r="AW206" s="97"/>
      <c r="AX206" s="97"/>
      <c r="AY206" s="97"/>
      <c r="AZ206" s="97"/>
      <c r="BA206" s="97"/>
      <c r="BC206" s="101"/>
      <c r="BD206" s="97"/>
      <c r="BE206" s="97"/>
      <c r="BF206" s="97"/>
      <c r="BG206" s="97"/>
      <c r="BH206" s="97"/>
      <c r="BI206" s="97"/>
      <c r="BJ206" s="97"/>
      <c r="BK206" s="33"/>
    </row>
    <row r="207" spans="1:63" s="19" customFormat="1" x14ac:dyDescent="0.25">
      <c r="D207" s="19">
        <v>1960</v>
      </c>
      <c r="E207" s="19">
        <v>1961</v>
      </c>
      <c r="F207" s="19">
        <v>1962</v>
      </c>
      <c r="G207" s="19">
        <v>1963</v>
      </c>
      <c r="H207" s="19">
        <v>1964</v>
      </c>
      <c r="I207" s="19">
        <v>1965</v>
      </c>
      <c r="J207" s="19">
        <v>1966</v>
      </c>
      <c r="K207" s="19">
        <v>1967</v>
      </c>
      <c r="L207" s="19">
        <v>1968</v>
      </c>
      <c r="M207" s="19">
        <v>1969</v>
      </c>
      <c r="N207" s="19">
        <v>1970</v>
      </c>
      <c r="O207" s="19">
        <v>1971</v>
      </c>
      <c r="P207" s="19">
        <v>1972</v>
      </c>
      <c r="Q207" s="19">
        <v>1973</v>
      </c>
      <c r="R207" s="19">
        <v>1974</v>
      </c>
      <c r="S207" s="19">
        <v>1975</v>
      </c>
      <c r="T207" s="19">
        <v>1976</v>
      </c>
      <c r="U207" s="19">
        <v>1977</v>
      </c>
      <c r="V207" s="19">
        <v>1978</v>
      </c>
      <c r="W207" s="19">
        <v>1979</v>
      </c>
      <c r="X207" s="19">
        <v>1980</v>
      </c>
      <c r="Y207" s="19">
        <v>1981</v>
      </c>
      <c r="Z207" s="19">
        <v>1982</v>
      </c>
      <c r="AA207" s="19">
        <v>1983</v>
      </c>
      <c r="AB207" s="19">
        <v>1984</v>
      </c>
      <c r="AC207" s="19">
        <v>1985</v>
      </c>
      <c r="AD207" s="19">
        <v>1986</v>
      </c>
      <c r="AE207" s="19">
        <v>1987</v>
      </c>
      <c r="AF207" s="19">
        <v>1988</v>
      </c>
      <c r="AG207" s="19">
        <v>1989</v>
      </c>
      <c r="AH207" s="19">
        <v>1990</v>
      </c>
      <c r="AI207" s="19">
        <v>1991</v>
      </c>
      <c r="AJ207" s="19">
        <v>1992</v>
      </c>
      <c r="AK207" s="19">
        <v>1993</v>
      </c>
      <c r="AL207" s="19">
        <v>1994</v>
      </c>
      <c r="AM207" s="19">
        <v>1995</v>
      </c>
      <c r="AN207" s="19">
        <v>1996</v>
      </c>
      <c r="AO207" s="19">
        <v>1997</v>
      </c>
      <c r="AP207" s="19">
        <v>1998</v>
      </c>
      <c r="AQ207" s="19">
        <v>1999</v>
      </c>
      <c r="AR207" s="19">
        <v>2000</v>
      </c>
      <c r="AS207" s="19">
        <v>2001</v>
      </c>
      <c r="AT207" s="19">
        <v>2002</v>
      </c>
      <c r="AU207" s="19">
        <v>2003</v>
      </c>
      <c r="AV207" s="19">
        <v>2004</v>
      </c>
      <c r="AW207" s="19">
        <v>2005</v>
      </c>
      <c r="AX207" s="19">
        <v>2006</v>
      </c>
      <c r="AY207" s="19">
        <v>2007</v>
      </c>
      <c r="AZ207" s="19">
        <v>2008</v>
      </c>
      <c r="BA207" s="19">
        <v>2009</v>
      </c>
      <c r="BB207" s="19">
        <v>2010</v>
      </c>
      <c r="BC207" s="19">
        <v>2011</v>
      </c>
      <c r="BD207" s="19">
        <v>2012</v>
      </c>
      <c r="BE207" s="19">
        <v>2013</v>
      </c>
      <c r="BF207" s="19">
        <v>2014</v>
      </c>
      <c r="BG207" s="19">
        <v>2015</v>
      </c>
      <c r="BH207" s="19">
        <v>2016</v>
      </c>
      <c r="BI207" s="19">
        <v>2017</v>
      </c>
      <c r="BJ207" s="19">
        <v>2018</v>
      </c>
      <c r="BK207" s="33">
        <v>2019</v>
      </c>
    </row>
    <row r="208" spans="1:63" s="19" customFormat="1" x14ac:dyDescent="0.25">
      <c r="A208" s="14" t="s">
        <v>177</v>
      </c>
      <c r="C208" s="19" t="s">
        <v>278</v>
      </c>
      <c r="D208" s="102">
        <f>D239-D227</f>
        <v>7.6602394347586342</v>
      </c>
      <c r="E208" s="102">
        <f t="shared" ref="E208:M208" si="91">E239-E227</f>
        <v>8.2262802330875431</v>
      </c>
      <c r="F208" s="102">
        <f t="shared" si="91"/>
        <v>8.7229253351964804</v>
      </c>
      <c r="G208" s="102">
        <f t="shared" si="91"/>
        <v>9.2867445756488181</v>
      </c>
      <c r="H208" s="102">
        <f t="shared" si="91"/>
        <v>10.317997508599271</v>
      </c>
      <c r="I208" s="102">
        <f t="shared" si="91"/>
        <v>11.132581801782329</v>
      </c>
      <c r="J208" s="102">
        <f t="shared" si="91"/>
        <v>11.794110647360984</v>
      </c>
      <c r="K208" s="102">
        <f t="shared" si="91"/>
        <v>12.646237832618205</v>
      </c>
      <c r="L208" s="102">
        <f t="shared" si="91"/>
        <v>13.441622545453637</v>
      </c>
      <c r="M208" s="102">
        <f t="shared" si="91"/>
        <v>13.917758000863465</v>
      </c>
      <c r="N208" s="79">
        <f>N184+N196</f>
        <v>13.806491497457937</v>
      </c>
      <c r="O208" s="79">
        <f t="shared" ref="O208:BJ209" si="92">O184+O196</f>
        <v>14.541927566789116</v>
      </c>
      <c r="P208" s="79">
        <f t="shared" si="92"/>
        <v>15.486270740520634</v>
      </c>
      <c r="Q208" s="79">
        <f t="shared" si="92"/>
        <v>16.488976614979585</v>
      </c>
      <c r="R208" s="79">
        <f t="shared" si="92"/>
        <v>16.032070946710522</v>
      </c>
      <c r="S208" s="79">
        <f t="shared" si="92"/>
        <v>15.648511692282357</v>
      </c>
      <c r="T208" s="79">
        <f t="shared" si="92"/>
        <v>16.337810933445617</v>
      </c>
      <c r="U208" s="79">
        <f t="shared" si="92"/>
        <v>16.795217845928534</v>
      </c>
      <c r="V208" s="79">
        <f t="shared" si="92"/>
        <v>17.802743137601478</v>
      </c>
      <c r="W208" s="79">
        <f t="shared" si="92"/>
        <v>18.119378435358513</v>
      </c>
      <c r="X208" s="79">
        <f t="shared" si="92"/>
        <v>18.540455149982208</v>
      </c>
      <c r="Y208" s="79">
        <f t="shared" si="92"/>
        <v>18.079820936116423</v>
      </c>
      <c r="Z208" s="79">
        <f t="shared" si="92"/>
        <v>18.591328527834325</v>
      </c>
      <c r="AA208" s="79">
        <f t="shared" si="92"/>
        <v>18.946605922801126</v>
      </c>
      <c r="AB208" s="79">
        <f t="shared" si="92"/>
        <v>19.613498497689712</v>
      </c>
      <c r="AC208" s="79">
        <f t="shared" si="92"/>
        <v>19.824635165528672</v>
      </c>
      <c r="AD208" s="79">
        <f t="shared" si="92"/>
        <v>20.901633609872263</v>
      </c>
      <c r="AE208" s="79">
        <f t="shared" si="92"/>
        <v>21.633453124838031</v>
      </c>
      <c r="AF208" s="79">
        <f t="shared" si="92"/>
        <v>22.720527527394431</v>
      </c>
      <c r="AG208" s="79">
        <f t="shared" si="92"/>
        <v>23.406309735168055</v>
      </c>
      <c r="AH208" s="79">
        <f t="shared" si="92"/>
        <v>23.796807230976896</v>
      </c>
      <c r="AI208" s="79">
        <f t="shared" si="92"/>
        <v>23.51928416725956</v>
      </c>
      <c r="AJ208" s="79">
        <f t="shared" si="92"/>
        <v>23.572781510996919</v>
      </c>
      <c r="AK208" s="79">
        <f t="shared" si="92"/>
        <v>23.319102720129997</v>
      </c>
      <c r="AL208" s="79">
        <f t="shared" si="92"/>
        <v>22.389432076569584</v>
      </c>
      <c r="AM208" s="79">
        <f t="shared" si="92"/>
        <v>21.497052779492918</v>
      </c>
      <c r="AN208" s="79">
        <f t="shared" si="92"/>
        <v>21.94373865710584</v>
      </c>
      <c r="AO208" s="79">
        <f t="shared" si="92"/>
        <v>21.771055704390502</v>
      </c>
      <c r="AP208" s="79">
        <f t="shared" si="92"/>
        <v>21.360194579154093</v>
      </c>
      <c r="AQ208" s="79">
        <f t="shared" si="92"/>
        <v>21.27656003884303</v>
      </c>
      <c r="AR208" s="79">
        <f t="shared" si="92"/>
        <v>20.889582752823724</v>
      </c>
      <c r="AS208" s="79">
        <f t="shared" si="92"/>
        <v>20.418600941083987</v>
      </c>
      <c r="AT208" s="79">
        <f t="shared" si="92"/>
        <v>20.273271829878333</v>
      </c>
      <c r="AU208" s="79">
        <f t="shared" si="92"/>
        <v>19.359529981959785</v>
      </c>
      <c r="AV208" s="79">
        <f t="shared" si="92"/>
        <v>18.925073451222524</v>
      </c>
      <c r="AW208" s="79">
        <f t="shared" si="92"/>
        <v>18.282913386201653</v>
      </c>
      <c r="AX208" s="79">
        <f t="shared" si="92"/>
        <v>17.52787831990128</v>
      </c>
      <c r="AY208" s="79">
        <f t="shared" si="92"/>
        <v>17.026868373844181</v>
      </c>
      <c r="AZ208" s="79">
        <f t="shared" si="92"/>
        <v>15.977655456127069</v>
      </c>
      <c r="BA208" s="79">
        <f t="shared" si="92"/>
        <v>15.070296771576054</v>
      </c>
      <c r="BB208" s="79">
        <f t="shared" si="92"/>
        <v>14.062468115099026</v>
      </c>
      <c r="BC208" s="79">
        <f t="shared" si="92"/>
        <v>13.352714375561858</v>
      </c>
      <c r="BD208" s="79">
        <f t="shared" si="92"/>
        <v>12.708587275802495</v>
      </c>
      <c r="BE208" s="79">
        <f t="shared" si="92"/>
        <v>12.056640450704233</v>
      </c>
      <c r="BF208" s="79">
        <f t="shared" si="92"/>
        <v>11.783721878072544</v>
      </c>
      <c r="BG208" s="79">
        <f t="shared" si="92"/>
        <v>11.519625024160037</v>
      </c>
      <c r="BH208" s="79">
        <f t="shared" si="92"/>
        <v>11.367551192113094</v>
      </c>
      <c r="BI208" s="79">
        <f t="shared" si="92"/>
        <v>11.191660036294206</v>
      </c>
      <c r="BJ208" s="79">
        <f t="shared" si="92"/>
        <v>10.982986790800501</v>
      </c>
      <c r="BK208" s="33"/>
    </row>
    <row r="209" spans="1:63" s="19" customFormat="1" x14ac:dyDescent="0.25">
      <c r="A209" s="14" t="s">
        <v>177</v>
      </c>
      <c r="C209" s="19" t="s">
        <v>279</v>
      </c>
      <c r="D209" s="103"/>
      <c r="N209" s="79">
        <f>N185+N197</f>
        <v>0.36249189344659538</v>
      </c>
      <c r="O209" s="79">
        <f t="shared" si="92"/>
        <v>0.39096840649533487</v>
      </c>
      <c r="P209" s="79">
        <f t="shared" si="92"/>
        <v>0.41928062659697585</v>
      </c>
      <c r="Q209" s="79">
        <f t="shared" si="92"/>
        <v>0.46365978996339768</v>
      </c>
      <c r="R209" s="79">
        <f t="shared" si="92"/>
        <v>0.47072917798564207</v>
      </c>
      <c r="S209" s="79">
        <f t="shared" si="92"/>
        <v>0.45928481876301419</v>
      </c>
      <c r="T209" s="79">
        <f t="shared" si="92"/>
        <v>0.46335116706749901</v>
      </c>
      <c r="U209" s="79">
        <f t="shared" si="92"/>
        <v>0.49788135837437408</v>
      </c>
      <c r="V209" s="79">
        <f t="shared" si="92"/>
        <v>0.51664096505808221</v>
      </c>
      <c r="W209" s="79">
        <f t="shared" si="92"/>
        <v>0.52896943457480217</v>
      </c>
      <c r="X209" s="79">
        <f t="shared" si="92"/>
        <v>0.53639494253653308</v>
      </c>
      <c r="Y209" s="79">
        <f t="shared" si="92"/>
        <v>0.53730866451634296</v>
      </c>
      <c r="Z209" s="79">
        <f t="shared" si="92"/>
        <v>0.57234195503530105</v>
      </c>
      <c r="AA209" s="79">
        <f t="shared" si="92"/>
        <v>0.60119673819448072</v>
      </c>
      <c r="AB209" s="79">
        <f t="shared" si="92"/>
        <v>0.659597765140155</v>
      </c>
      <c r="AC209" s="79">
        <f t="shared" si="92"/>
        <v>0.71032515171759403</v>
      </c>
      <c r="AD209" s="79">
        <f t="shared" si="92"/>
        <v>0.80432940580827261</v>
      </c>
      <c r="AE209" s="79">
        <f t="shared" si="92"/>
        <v>0.95319977529562694</v>
      </c>
      <c r="AF209" s="79">
        <f t="shared" si="92"/>
        <v>1.1946054464085749</v>
      </c>
      <c r="AG209" s="79">
        <f t="shared" si="92"/>
        <v>1.800592832993515</v>
      </c>
      <c r="AH209" s="79">
        <f t="shared" si="92"/>
        <v>2.3540948432946984</v>
      </c>
      <c r="AI209" s="79">
        <f t="shared" si="92"/>
        <v>2.6794217585861135</v>
      </c>
      <c r="AJ209" s="79">
        <f t="shared" si="92"/>
        <v>3.161607283124467</v>
      </c>
      <c r="AK209" s="79">
        <f t="shared" si="92"/>
        <v>3.7453830830425563</v>
      </c>
      <c r="AL209" s="79">
        <f t="shared" si="92"/>
        <v>4.6221766955830281</v>
      </c>
      <c r="AM209" s="79">
        <f t="shared" si="92"/>
        <v>5.23130988075724</v>
      </c>
      <c r="AN209" s="79">
        <f t="shared" si="92"/>
        <v>5.9315042445602124</v>
      </c>
      <c r="AO209" s="79">
        <f t="shared" si="92"/>
        <v>6.5204189970477913</v>
      </c>
      <c r="AP209" s="79">
        <f t="shared" si="92"/>
        <v>6.7966304493271714</v>
      </c>
      <c r="AQ209" s="79">
        <f t="shared" si="92"/>
        <v>7.3222753669938667</v>
      </c>
      <c r="AR209" s="79">
        <f t="shared" si="92"/>
        <v>7.6390274517847994</v>
      </c>
      <c r="AS209" s="79">
        <f t="shared" si="92"/>
        <v>8.1068470721911776</v>
      </c>
      <c r="AT209" s="79">
        <f t="shared" si="92"/>
        <v>8.8203856737627646</v>
      </c>
      <c r="AU209" s="79">
        <f t="shared" si="92"/>
        <v>9.4942915528404743</v>
      </c>
      <c r="AV209" s="79">
        <f t="shared" si="92"/>
        <v>10.22155374857393</v>
      </c>
      <c r="AW209" s="79">
        <f t="shared" si="92"/>
        <v>11.015142499630795</v>
      </c>
      <c r="AX209" s="79">
        <f t="shared" si="92"/>
        <v>11.757625357837217</v>
      </c>
      <c r="AY209" s="79">
        <f t="shared" si="92"/>
        <v>12.537494585116617</v>
      </c>
      <c r="AZ209" s="79">
        <f t="shared" si="92"/>
        <v>12.64596816651936</v>
      </c>
      <c r="BA209" s="79">
        <f t="shared" si="92"/>
        <v>12.781142586805128</v>
      </c>
      <c r="BB209" s="79">
        <f t="shared" si="92"/>
        <v>13.190673804130256</v>
      </c>
      <c r="BC209" s="79">
        <f t="shared" si="92"/>
        <v>13.693124763772181</v>
      </c>
      <c r="BD209" s="79">
        <f t="shared" si="92"/>
        <v>14.305286622749891</v>
      </c>
      <c r="BE209" s="79">
        <f t="shared" si="92"/>
        <v>14.651172019595242</v>
      </c>
      <c r="BF209" s="79">
        <f t="shared" si="92"/>
        <v>15.224742830239091</v>
      </c>
      <c r="BG209" s="79">
        <f t="shared" si="92"/>
        <v>15.920676398378641</v>
      </c>
      <c r="BH209" s="79">
        <f t="shared" si="92"/>
        <v>16.726877159243447</v>
      </c>
      <c r="BI209" s="79">
        <f t="shared" si="92"/>
        <v>16.941490122567515</v>
      </c>
      <c r="BJ209" s="79">
        <f t="shared" si="92"/>
        <v>16.736025266402198</v>
      </c>
      <c r="BK209" s="33"/>
    </row>
    <row r="210" spans="1:63" s="19" customFormat="1" x14ac:dyDescent="0.25">
      <c r="A210" s="14" t="s">
        <v>177</v>
      </c>
      <c r="C210" s="19" t="s">
        <v>280</v>
      </c>
      <c r="N210" s="79">
        <f>SUM(N208:N209)</f>
        <v>14.168983390904533</v>
      </c>
      <c r="O210" s="79">
        <f t="shared" ref="O210:BJ210" si="93">SUM(O208:O209)</f>
        <v>14.932895973284451</v>
      </c>
      <c r="P210" s="79">
        <f t="shared" si="93"/>
        <v>15.90555136711761</v>
      </c>
      <c r="Q210" s="79">
        <f t="shared" si="93"/>
        <v>16.952636404942982</v>
      </c>
      <c r="R210" s="79">
        <f t="shared" si="93"/>
        <v>16.502800124696165</v>
      </c>
      <c r="S210" s="79">
        <f t="shared" si="93"/>
        <v>16.107796511045372</v>
      </c>
      <c r="T210" s="79">
        <f t="shared" si="93"/>
        <v>16.801162100513118</v>
      </c>
      <c r="U210" s="79">
        <f t="shared" si="93"/>
        <v>17.293099204302909</v>
      </c>
      <c r="V210" s="79">
        <f t="shared" si="93"/>
        <v>18.319384102659562</v>
      </c>
      <c r="W210" s="79">
        <f t="shared" si="93"/>
        <v>18.648347869933314</v>
      </c>
      <c r="X210" s="79">
        <f t="shared" si="93"/>
        <v>19.07685009251874</v>
      </c>
      <c r="Y210" s="79">
        <f t="shared" si="93"/>
        <v>18.617129600632765</v>
      </c>
      <c r="Z210" s="79">
        <f t="shared" si="93"/>
        <v>19.163670482869627</v>
      </c>
      <c r="AA210" s="79">
        <f t="shared" si="93"/>
        <v>19.547802660995607</v>
      </c>
      <c r="AB210" s="79">
        <f t="shared" si="93"/>
        <v>20.273096262829867</v>
      </c>
      <c r="AC210" s="79">
        <f t="shared" si="93"/>
        <v>20.534960317246266</v>
      </c>
      <c r="AD210" s="79">
        <f t="shared" si="93"/>
        <v>21.705963015680535</v>
      </c>
      <c r="AE210" s="79">
        <f t="shared" si="93"/>
        <v>22.586652900133657</v>
      </c>
      <c r="AF210" s="79">
        <f t="shared" si="93"/>
        <v>23.915132973803004</v>
      </c>
      <c r="AG210" s="79">
        <f t="shared" si="93"/>
        <v>25.206902568161571</v>
      </c>
      <c r="AH210" s="79">
        <f t="shared" si="93"/>
        <v>26.150902074271595</v>
      </c>
      <c r="AI210" s="79">
        <f t="shared" si="93"/>
        <v>26.198705925845672</v>
      </c>
      <c r="AJ210" s="79">
        <f t="shared" si="93"/>
        <v>26.734388794121386</v>
      </c>
      <c r="AK210" s="79">
        <f t="shared" si="93"/>
        <v>27.064485803172552</v>
      </c>
      <c r="AL210" s="79">
        <f t="shared" si="93"/>
        <v>27.011608772152613</v>
      </c>
      <c r="AM210" s="79">
        <f t="shared" si="93"/>
        <v>26.728362660250159</v>
      </c>
      <c r="AN210" s="79">
        <f t="shared" si="93"/>
        <v>27.875242901666052</v>
      </c>
      <c r="AO210" s="79">
        <f t="shared" si="93"/>
        <v>28.291474701438293</v>
      </c>
      <c r="AP210" s="79">
        <f t="shared" si="93"/>
        <v>28.156825028481265</v>
      </c>
      <c r="AQ210" s="79">
        <f t="shared" si="93"/>
        <v>28.598835405836898</v>
      </c>
      <c r="AR210" s="79">
        <f t="shared" si="93"/>
        <v>28.528610204608523</v>
      </c>
      <c r="AS210" s="79">
        <f t="shared" si="93"/>
        <v>28.525448013275167</v>
      </c>
      <c r="AT210" s="79">
        <f t="shared" si="93"/>
        <v>29.093657503641097</v>
      </c>
      <c r="AU210" s="79">
        <f t="shared" si="93"/>
        <v>28.853821534800261</v>
      </c>
      <c r="AV210" s="79">
        <f t="shared" si="93"/>
        <v>29.146627199796455</v>
      </c>
      <c r="AW210" s="79">
        <f t="shared" si="93"/>
        <v>29.298055885832447</v>
      </c>
      <c r="AX210" s="79">
        <f t="shared" si="93"/>
        <v>29.285503677738497</v>
      </c>
      <c r="AY210" s="79">
        <f t="shared" si="93"/>
        <v>29.5643629589608</v>
      </c>
      <c r="AZ210" s="79">
        <f t="shared" si="93"/>
        <v>28.623623622646427</v>
      </c>
      <c r="BA210" s="79">
        <f t="shared" si="93"/>
        <v>27.851439358381182</v>
      </c>
      <c r="BB210" s="79">
        <f t="shared" si="93"/>
        <v>27.253141919229282</v>
      </c>
      <c r="BC210" s="79">
        <f t="shared" si="93"/>
        <v>27.045839139334038</v>
      </c>
      <c r="BD210" s="79">
        <f t="shared" si="93"/>
        <v>27.013873898552387</v>
      </c>
      <c r="BE210" s="79">
        <f t="shared" si="93"/>
        <v>26.707812470299473</v>
      </c>
      <c r="BF210" s="79">
        <f t="shared" si="93"/>
        <v>27.008464708311635</v>
      </c>
      <c r="BG210" s="79">
        <f t="shared" si="93"/>
        <v>27.440301422538678</v>
      </c>
      <c r="BH210" s="79">
        <f t="shared" si="93"/>
        <v>28.094428351356541</v>
      </c>
      <c r="BI210" s="79">
        <f t="shared" si="93"/>
        <v>28.133150158861721</v>
      </c>
      <c r="BJ210" s="79">
        <f t="shared" si="93"/>
        <v>27.719012057202697</v>
      </c>
      <c r="BK210" s="33"/>
    </row>
    <row r="211" spans="1:63" s="19" customFormat="1" x14ac:dyDescent="0.25">
      <c r="A211" s="6"/>
      <c r="C211" s="19" t="s">
        <v>281</v>
      </c>
      <c r="D211" s="97"/>
      <c r="E211" s="97"/>
      <c r="F211" s="97"/>
      <c r="G211" s="97"/>
      <c r="H211" s="97"/>
      <c r="I211" s="97"/>
      <c r="J211" s="97"/>
      <c r="K211" s="97"/>
      <c r="L211" s="97"/>
      <c r="M211" s="97"/>
      <c r="N211" s="97">
        <f t="shared" ref="N211:AS211" si="94">(N128+N129)/(N186+N198)</f>
        <v>12.366455317639705</v>
      </c>
      <c r="O211" s="97">
        <f t="shared" si="94"/>
        <v>12.477298464633909</v>
      </c>
      <c r="P211" s="97">
        <f t="shared" si="94"/>
        <v>12.381941088012063</v>
      </c>
      <c r="Q211" s="97">
        <f t="shared" si="94"/>
        <v>12.224600059231729</v>
      </c>
      <c r="R211" s="97">
        <f t="shared" si="94"/>
        <v>12.333573603391587</v>
      </c>
      <c r="S211" s="97">
        <f t="shared" si="94"/>
        <v>12.725924359637732</v>
      </c>
      <c r="T211" s="97">
        <f t="shared" si="94"/>
        <v>12.765765767681609</v>
      </c>
      <c r="U211" s="97">
        <f t="shared" si="94"/>
        <v>12.635225035060909</v>
      </c>
      <c r="V211" s="97">
        <f t="shared" si="94"/>
        <v>12.428010610190052</v>
      </c>
      <c r="W211" s="97">
        <f t="shared" si="94"/>
        <v>12.148379126134895</v>
      </c>
      <c r="X211" s="97">
        <f t="shared" si="94"/>
        <v>12.634591079295772</v>
      </c>
      <c r="Y211" s="97">
        <f t="shared" si="94"/>
        <v>13.197217039926995</v>
      </c>
      <c r="Z211" s="97">
        <f t="shared" si="94"/>
        <v>13.215453700604259</v>
      </c>
      <c r="AA211" s="97">
        <f t="shared" si="94"/>
        <v>13.161535568054289</v>
      </c>
      <c r="AB211" s="97">
        <f t="shared" si="94"/>
        <v>13.389089484948297</v>
      </c>
      <c r="AC211" s="97">
        <f t="shared" si="94"/>
        <v>13.594450424408489</v>
      </c>
      <c r="AD211" s="97">
        <f t="shared" si="94"/>
        <v>13.557845822708057</v>
      </c>
      <c r="AE211" s="97">
        <f t="shared" si="94"/>
        <v>14.040765641646859</v>
      </c>
      <c r="AF211" s="97">
        <f t="shared" si="94"/>
        <v>14.283453927443498</v>
      </c>
      <c r="AG211" s="97">
        <f t="shared" si="94"/>
        <v>14.71959511870565</v>
      </c>
      <c r="AH211" s="97">
        <f t="shared" si="94"/>
        <v>14.366674577150885</v>
      </c>
      <c r="AI211" s="97">
        <f t="shared" si="94"/>
        <v>14.383450887482576</v>
      </c>
      <c r="AJ211" s="97">
        <f t="shared" si="94"/>
        <v>14.179505015777874</v>
      </c>
      <c r="AK211" s="97">
        <f t="shared" si="94"/>
        <v>14.024397239998805</v>
      </c>
      <c r="AL211" s="97">
        <f t="shared" si="94"/>
        <v>14.373512635806602</v>
      </c>
      <c r="AM211" s="97">
        <f t="shared" si="94"/>
        <v>14.802743625908921</v>
      </c>
      <c r="AN211" s="97">
        <f t="shared" si="94"/>
        <v>14.563126909137608</v>
      </c>
      <c r="AO211" s="97">
        <f t="shared" si="94"/>
        <v>14.644605994290455</v>
      </c>
      <c r="AP211" s="97">
        <f t="shared" si="94"/>
        <v>14.966073041749109</v>
      </c>
      <c r="AQ211" s="97">
        <f t="shared" si="94"/>
        <v>14.999191187780022</v>
      </c>
      <c r="AR211" s="97">
        <f t="shared" si="94"/>
        <v>15.007913001343322</v>
      </c>
      <c r="AS211" s="97">
        <f t="shared" si="94"/>
        <v>15.235199804670911</v>
      </c>
      <c r="AT211" s="97">
        <f t="shared" ref="AT211:BJ211" si="95">(AT128+AT129)/(AT186+AT198)</f>
        <v>15.302658318029678</v>
      </c>
      <c r="AU211" s="97">
        <f t="shared" si="95"/>
        <v>15.502348604343945</v>
      </c>
      <c r="AV211" s="97">
        <f t="shared" si="95"/>
        <v>15.589508758089622</v>
      </c>
      <c r="AW211" s="97">
        <f t="shared" si="95"/>
        <v>15.508933485915138</v>
      </c>
      <c r="AX211" s="97">
        <f t="shared" si="95"/>
        <v>15.757325025991674</v>
      </c>
      <c r="AY211" s="97">
        <f t="shared" si="95"/>
        <v>15.739314276648848</v>
      </c>
      <c r="AZ211" s="97">
        <f t="shared" si="95"/>
        <v>16.132932925887367</v>
      </c>
      <c r="BA211" s="97">
        <f t="shared" si="95"/>
        <v>16.493564087981849</v>
      </c>
      <c r="BB211" s="97">
        <f t="shared" si="95"/>
        <v>16.725766935458381</v>
      </c>
      <c r="BC211" s="97">
        <f t="shared" si="95"/>
        <v>17.032442499816739</v>
      </c>
      <c r="BD211" s="97">
        <f t="shared" si="95"/>
        <v>17.13598359636995</v>
      </c>
      <c r="BE211" s="97">
        <f t="shared" si="95"/>
        <v>17.495015756891778</v>
      </c>
      <c r="BF211" s="97">
        <f t="shared" si="95"/>
        <v>17.878132104688035</v>
      </c>
      <c r="BG211" s="97">
        <f t="shared" si="95"/>
        <v>18.00136931419685</v>
      </c>
      <c r="BH211" s="97">
        <f t="shared" si="95"/>
        <v>18.074772465533396</v>
      </c>
      <c r="BI211" s="97">
        <f t="shared" si="95"/>
        <v>18.438802518409069</v>
      </c>
      <c r="BJ211" s="97">
        <f t="shared" si="95"/>
        <v>18.963890160125995</v>
      </c>
      <c r="BK211" s="33">
        <f>BA211/N211</f>
        <v>1.3337341755850742</v>
      </c>
    </row>
    <row r="212" spans="1:63" s="19" customFormat="1" x14ac:dyDescent="0.25">
      <c r="A212" s="6"/>
      <c r="C212" s="19" t="s">
        <v>282</v>
      </c>
      <c r="D212" s="97"/>
      <c r="E212" s="97"/>
      <c r="F212" s="97"/>
      <c r="G212" s="97"/>
      <c r="H212" s="97"/>
      <c r="I212" s="97"/>
      <c r="J212" s="97"/>
      <c r="K212" s="97"/>
      <c r="L212" s="97"/>
      <c r="M212" s="97"/>
      <c r="N212" s="97">
        <f t="shared" ref="N212:AS212" si="96">(N208/(N208+N209*1.25))*((N$129+N128)/N208)</f>
        <v>12.287863740691488</v>
      </c>
      <c r="O212" s="97">
        <f t="shared" si="96"/>
        <v>12.396160367339355</v>
      </c>
      <c r="P212" s="97">
        <f t="shared" si="96"/>
        <v>12.300876323053895</v>
      </c>
      <c r="Q212" s="97">
        <f t="shared" si="96"/>
        <v>12.141581070408145</v>
      </c>
      <c r="R212" s="97">
        <f t="shared" si="96"/>
        <v>12.246245016628579</v>
      </c>
      <c r="S212" s="97">
        <f t="shared" si="96"/>
        <v>12.635852215216824</v>
      </c>
      <c r="T212" s="97">
        <f t="shared" si="96"/>
        <v>12.678353216628972</v>
      </c>
      <c r="U212" s="97">
        <f t="shared" si="96"/>
        <v>12.544930534040438</v>
      </c>
      <c r="V212" s="97">
        <f t="shared" si="96"/>
        <v>12.341000772507176</v>
      </c>
      <c r="W212" s="97">
        <f t="shared" si="96"/>
        <v>12.062837069693375</v>
      </c>
      <c r="X212" s="97">
        <f t="shared" si="96"/>
        <v>12.546397481772626</v>
      </c>
      <c r="Y212" s="97">
        <f t="shared" si="96"/>
        <v>13.102677997557436</v>
      </c>
      <c r="Z212" s="97">
        <f t="shared" si="96"/>
        <v>13.117511837419197</v>
      </c>
      <c r="AA212" s="97">
        <f t="shared" si="96"/>
        <v>13.061111269368189</v>
      </c>
      <c r="AB212" s="97">
        <f t="shared" si="96"/>
        <v>13.281062582146919</v>
      </c>
      <c r="AC212" s="97">
        <f t="shared" si="96"/>
        <v>13.477896885925524</v>
      </c>
      <c r="AD212" s="97">
        <f t="shared" si="96"/>
        <v>13.433399852337955</v>
      </c>
      <c r="AE212" s="97">
        <f t="shared" si="96"/>
        <v>13.894175474012192</v>
      </c>
      <c r="AF212" s="97">
        <f t="shared" si="96"/>
        <v>14.107282664632045</v>
      </c>
      <c r="AG212" s="97">
        <f t="shared" si="96"/>
        <v>14.461342546086543</v>
      </c>
      <c r="AH212" s="97">
        <f t="shared" si="96"/>
        <v>14.050470007079154</v>
      </c>
      <c r="AI212" s="97">
        <f t="shared" si="96"/>
        <v>14.024859570038871</v>
      </c>
      <c r="AJ212" s="97">
        <f t="shared" si="96"/>
        <v>13.772326384010995</v>
      </c>
      <c r="AK212" s="97">
        <f t="shared" si="96"/>
        <v>13.555422416573752</v>
      </c>
      <c r="AL212" s="97">
        <f t="shared" si="96"/>
        <v>13.783846054433011</v>
      </c>
      <c r="AM212" s="97">
        <f t="shared" si="96"/>
        <v>14.112227737050166</v>
      </c>
      <c r="AN212" s="97">
        <f t="shared" si="96"/>
        <v>13.827544622811162</v>
      </c>
      <c r="AO212" s="97">
        <f t="shared" si="96"/>
        <v>13.846779067349798</v>
      </c>
      <c r="AP212" s="97">
        <f t="shared" si="96"/>
        <v>14.11432693640273</v>
      </c>
      <c r="AQ212" s="97">
        <f t="shared" si="96"/>
        <v>14.096871450713296</v>
      </c>
      <c r="AR212" s="97">
        <f t="shared" si="96"/>
        <v>14.066290055894118</v>
      </c>
      <c r="AS212" s="97">
        <f t="shared" si="96"/>
        <v>14.224555746977749</v>
      </c>
      <c r="AT212" s="97">
        <f t="shared" ref="AT212:BJ212" si="97">(AT208/(AT208+AT209*1.25))*((AT$129+AT128)/AT208)</f>
        <v>14.224537536169988</v>
      </c>
      <c r="AU212" s="97">
        <f t="shared" si="97"/>
        <v>14.324025691698402</v>
      </c>
      <c r="AV212" s="97">
        <f t="shared" si="97"/>
        <v>14.332893062816607</v>
      </c>
      <c r="AW212" s="97">
        <f t="shared" si="97"/>
        <v>14.176458468002306</v>
      </c>
      <c r="AX212" s="97">
        <f t="shared" si="97"/>
        <v>14.32001516074761</v>
      </c>
      <c r="AY212" s="97">
        <f t="shared" si="97"/>
        <v>14.230604858459037</v>
      </c>
      <c r="AZ212" s="97">
        <f t="shared" si="97"/>
        <v>14.528278105937625</v>
      </c>
      <c r="BA212" s="97">
        <f t="shared" si="97"/>
        <v>14.796069470283886</v>
      </c>
      <c r="BB212" s="97">
        <f t="shared" si="97"/>
        <v>14.920379998944465</v>
      </c>
      <c r="BC212" s="97">
        <f t="shared" si="97"/>
        <v>15.118805367749546</v>
      </c>
      <c r="BD212" s="97">
        <f t="shared" si="97"/>
        <v>15.132603489873405</v>
      </c>
      <c r="BE212" s="97">
        <f t="shared" si="97"/>
        <v>15.385060412495758</v>
      </c>
      <c r="BF212" s="97">
        <f t="shared" si="97"/>
        <v>15.669848383264391</v>
      </c>
      <c r="BG212" s="97">
        <f t="shared" si="97"/>
        <v>15.721056743947885</v>
      </c>
      <c r="BH212" s="97">
        <f t="shared" si="97"/>
        <v>15.732992848016149</v>
      </c>
      <c r="BI212" s="97">
        <f t="shared" si="97"/>
        <v>16.026112930023107</v>
      </c>
      <c r="BJ212" s="97">
        <f t="shared" si="97"/>
        <v>16.476820275778021</v>
      </c>
      <c r="BK212" s="33">
        <f>BA212/N212</f>
        <v>1.2041205682714748</v>
      </c>
    </row>
    <row r="213" spans="1:63" s="19" customFormat="1" x14ac:dyDescent="0.25">
      <c r="A213" s="6"/>
      <c r="C213" s="19" t="s">
        <v>283</v>
      </c>
      <c r="D213" s="97"/>
      <c r="E213" s="97"/>
      <c r="F213" s="97"/>
      <c r="G213" s="97"/>
      <c r="H213" s="97"/>
      <c r="I213" s="97"/>
      <c r="J213" s="97"/>
      <c r="K213" s="97"/>
      <c r="L213" s="97"/>
      <c r="M213" s="97"/>
      <c r="N213" s="97">
        <f t="shared" ref="N213:AS213" si="98">(N209*1.25/(N208+N209*1.25))*((N128+N$129)/N209)</f>
        <v>15.359829675864361</v>
      </c>
      <c r="O213" s="97">
        <f t="shared" si="98"/>
        <v>15.495200459174193</v>
      </c>
      <c r="P213" s="97">
        <f t="shared" si="98"/>
        <v>15.376095403817367</v>
      </c>
      <c r="Q213" s="97">
        <f t="shared" si="98"/>
        <v>15.176976338010183</v>
      </c>
      <c r="R213" s="97">
        <f t="shared" si="98"/>
        <v>15.307806270785722</v>
      </c>
      <c r="S213" s="97">
        <f t="shared" si="98"/>
        <v>15.794815269021028</v>
      </c>
      <c r="T213" s="97">
        <f t="shared" si="98"/>
        <v>15.847941520786213</v>
      </c>
      <c r="U213" s="97">
        <f t="shared" si="98"/>
        <v>15.681163167550546</v>
      </c>
      <c r="V213" s="97">
        <f t="shared" si="98"/>
        <v>15.426250965633971</v>
      </c>
      <c r="W213" s="97">
        <f t="shared" si="98"/>
        <v>15.078546337116716</v>
      </c>
      <c r="X213" s="97">
        <f t="shared" si="98"/>
        <v>15.68299685221578</v>
      </c>
      <c r="Y213" s="97">
        <f t="shared" si="98"/>
        <v>16.378347496946791</v>
      </c>
      <c r="Z213" s="97">
        <f t="shared" si="98"/>
        <v>16.396889796773998</v>
      </c>
      <c r="AA213" s="97">
        <f t="shared" si="98"/>
        <v>16.326389086710233</v>
      </c>
      <c r="AB213" s="97">
        <f t="shared" si="98"/>
        <v>16.601328227683652</v>
      </c>
      <c r="AC213" s="97">
        <f t="shared" si="98"/>
        <v>16.847371107406907</v>
      </c>
      <c r="AD213" s="97">
        <f t="shared" si="98"/>
        <v>16.791749815422442</v>
      </c>
      <c r="AE213" s="97">
        <f t="shared" si="98"/>
        <v>17.36771934251524</v>
      </c>
      <c r="AF213" s="97">
        <f t="shared" si="98"/>
        <v>17.634103330790058</v>
      </c>
      <c r="AG213" s="97">
        <f t="shared" si="98"/>
        <v>18.07667818260818</v>
      </c>
      <c r="AH213" s="97">
        <f t="shared" si="98"/>
        <v>17.563087508848941</v>
      </c>
      <c r="AI213" s="97">
        <f t="shared" si="98"/>
        <v>17.531074462548588</v>
      </c>
      <c r="AJ213" s="97">
        <f t="shared" si="98"/>
        <v>17.215407980013744</v>
      </c>
      <c r="AK213" s="97">
        <f t="shared" si="98"/>
        <v>16.944278020717185</v>
      </c>
      <c r="AL213" s="97">
        <f t="shared" si="98"/>
        <v>17.22980756804127</v>
      </c>
      <c r="AM213" s="97">
        <f t="shared" si="98"/>
        <v>17.64028467131271</v>
      </c>
      <c r="AN213" s="97">
        <f t="shared" si="98"/>
        <v>17.284430778513951</v>
      </c>
      <c r="AO213" s="97">
        <f t="shared" si="98"/>
        <v>17.308473834187247</v>
      </c>
      <c r="AP213" s="97">
        <f t="shared" si="98"/>
        <v>17.642908670503409</v>
      </c>
      <c r="AQ213" s="97">
        <f t="shared" si="98"/>
        <v>17.621089313391622</v>
      </c>
      <c r="AR213" s="97">
        <f t="shared" si="98"/>
        <v>17.58286256986765</v>
      </c>
      <c r="AS213" s="97">
        <f t="shared" si="98"/>
        <v>17.780694683722189</v>
      </c>
      <c r="AT213" s="97">
        <f t="shared" ref="AT213:BJ213" si="99">(AT209*1.25/(AT208+AT209*1.25))*((AT128+AT$129)/AT209)</f>
        <v>17.780671920212484</v>
      </c>
      <c r="AU213" s="97">
        <f t="shared" si="99"/>
        <v>17.905032114623001</v>
      </c>
      <c r="AV213" s="97">
        <f t="shared" si="99"/>
        <v>17.916116328520758</v>
      </c>
      <c r="AW213" s="97">
        <f t="shared" si="99"/>
        <v>17.720573085002883</v>
      </c>
      <c r="AX213" s="97">
        <f t="shared" si="99"/>
        <v>17.900018950934509</v>
      </c>
      <c r="AY213" s="97">
        <f t="shared" si="99"/>
        <v>17.7882560730738</v>
      </c>
      <c r="AZ213" s="97">
        <f t="shared" si="99"/>
        <v>18.160347632422031</v>
      </c>
      <c r="BA213" s="97">
        <f t="shared" si="99"/>
        <v>18.49508683785486</v>
      </c>
      <c r="BB213" s="97">
        <f t="shared" si="99"/>
        <v>18.650474998680579</v>
      </c>
      <c r="BC213" s="97">
        <f t="shared" si="99"/>
        <v>18.898506709686934</v>
      </c>
      <c r="BD213" s="97">
        <f t="shared" si="99"/>
        <v>18.915754362341758</v>
      </c>
      <c r="BE213" s="97">
        <f t="shared" si="99"/>
        <v>19.231325515619698</v>
      </c>
      <c r="BF213" s="97">
        <f t="shared" si="99"/>
        <v>19.58731047908049</v>
      </c>
      <c r="BG213" s="97">
        <f t="shared" si="99"/>
        <v>19.651320929934858</v>
      </c>
      <c r="BH213" s="97">
        <f t="shared" si="99"/>
        <v>19.666241060020187</v>
      </c>
      <c r="BI213" s="97">
        <f t="shared" si="99"/>
        <v>20.032641162528883</v>
      </c>
      <c r="BJ213" s="97">
        <f t="shared" si="99"/>
        <v>20.59602534472252</v>
      </c>
      <c r="BK213" s="33">
        <f>BA213/N213</f>
        <v>1.2041205682714751</v>
      </c>
    </row>
    <row r="214" spans="1:63" s="19" customFormat="1" x14ac:dyDescent="0.25">
      <c r="A214" s="6"/>
      <c r="B214" s="98">
        <f>(N214/X214)^(1/10)</f>
        <v>0.99791990267356967</v>
      </c>
      <c r="C214" s="19" t="s">
        <v>284</v>
      </c>
      <c r="D214" s="99">
        <f t="shared" ref="D214:L215" si="100">E214*$B214</f>
        <v>17.588036033599646</v>
      </c>
      <c r="E214" s="99">
        <f t="shared" si="100"/>
        <v>17.624697118955932</v>
      </c>
      <c r="F214" s="99">
        <f t="shared" si="100"/>
        <v>17.661434621893857</v>
      </c>
      <c r="G214" s="99">
        <f t="shared" si="100"/>
        <v>17.698248701700763</v>
      </c>
      <c r="H214" s="99">
        <f t="shared" si="100"/>
        <v>17.735139517996014</v>
      </c>
      <c r="I214" s="99">
        <f t="shared" si="100"/>
        <v>17.772107230731692</v>
      </c>
      <c r="J214" s="99">
        <f t="shared" si="100"/>
        <v>17.809152000193286</v>
      </c>
      <c r="K214" s="99">
        <f t="shared" si="100"/>
        <v>17.846273987000387</v>
      </c>
      <c r="L214" s="99">
        <f t="shared" si="100"/>
        <v>17.883473352107394</v>
      </c>
      <c r="M214" s="99">
        <f>N214*$B214</f>
        <v>17.920750256804197</v>
      </c>
      <c r="N214" s="95">
        <f t="shared" ref="N214:AS214" si="101">(N$120*(N208*N212/(N$184*N$187+N$185*N$188))*1000000000/1.609)/(N208*1000000*$N$5)</f>
        <v>17.95810486271689</v>
      </c>
      <c r="O214" s="95">
        <f t="shared" si="101"/>
        <v>18.11638653689927</v>
      </c>
      <c r="P214" s="95">
        <f t="shared" si="101"/>
        <v>17.977125886429569</v>
      </c>
      <c r="Q214" s="95">
        <f t="shared" si="101"/>
        <v>17.744343373324352</v>
      </c>
      <c r="R214" s="95">
        <f t="shared" si="101"/>
        <v>17.897302590387522</v>
      </c>
      <c r="S214" s="95">
        <f t="shared" si="101"/>
        <v>18.466714062780319</v>
      </c>
      <c r="T214" s="95">
        <f t="shared" si="101"/>
        <v>18.528816006478078</v>
      </c>
      <c r="U214" s="95">
        <f t="shared" si="101"/>
        <v>18.333843917853613</v>
      </c>
      <c r="V214" s="95">
        <f t="shared" si="101"/>
        <v>18.035786207524595</v>
      </c>
      <c r="W214" s="95">
        <f t="shared" si="101"/>
        <v>17.629257545091612</v>
      </c>
      <c r="X214" s="95">
        <f t="shared" si="101"/>
        <v>18.335960288246753</v>
      </c>
      <c r="Y214" s="95">
        <f t="shared" si="101"/>
        <v>19.148951261626902</v>
      </c>
      <c r="Z214" s="95">
        <f t="shared" si="101"/>
        <v>19.170672507681616</v>
      </c>
      <c r="AA214" s="95">
        <f t="shared" si="101"/>
        <v>19.088286989211319</v>
      </c>
      <c r="AB214" s="95">
        <f t="shared" si="101"/>
        <v>19.409804179562531</v>
      </c>
      <c r="AC214" s="95">
        <f t="shared" si="101"/>
        <v>19.697548066184755</v>
      </c>
      <c r="AD214" s="95">
        <f t="shared" si="101"/>
        <v>19.632631572063147</v>
      </c>
      <c r="AE214" s="95">
        <f t="shared" si="101"/>
        <v>20.306868791529876</v>
      </c>
      <c r="AF214" s="95">
        <f t="shared" si="101"/>
        <v>20.618814767754994</v>
      </c>
      <c r="AG214" s="95">
        <f t="shared" si="101"/>
        <v>21.138226729842906</v>
      </c>
      <c r="AH214" s="95">
        <f t="shared" si="101"/>
        <v>20.543407259579851</v>
      </c>
      <c r="AI214" s="95">
        <f t="shared" si="101"/>
        <v>20.508759425836718</v>
      </c>
      <c r="AJ214" s="95">
        <f t="shared" si="101"/>
        <v>20.145995989214548</v>
      </c>
      <c r="AK214" s="95">
        <f t="shared" si="101"/>
        <v>19.839742810357606</v>
      </c>
      <c r="AL214" s="95">
        <f t="shared" si="101"/>
        <v>20.196316929795113</v>
      </c>
      <c r="AM214" s="95">
        <f t="shared" si="101"/>
        <v>20.698868763323947</v>
      </c>
      <c r="AN214" s="95">
        <f t="shared" si="101"/>
        <v>20.297211587924227</v>
      </c>
      <c r="AO214" s="95">
        <f t="shared" si="101"/>
        <v>20.340919447128574</v>
      </c>
      <c r="AP214" s="95">
        <f t="shared" si="101"/>
        <v>20.742705514042935</v>
      </c>
      <c r="AQ214" s="95">
        <f t="shared" si="101"/>
        <v>20.734493372389672</v>
      </c>
      <c r="AR214" s="95">
        <f t="shared" si="101"/>
        <v>20.702001257232961</v>
      </c>
      <c r="AS214" s="95">
        <f t="shared" si="101"/>
        <v>20.958494609693322</v>
      </c>
      <c r="AT214" s="95">
        <f t="shared" ref="AT214:BJ214" si="102">(AT$120*(AT208*AT212/(AT$184*AT$187+AT$185*AT$188))*1000000000/1.609)/(AT208*1000000*$N$5)</f>
        <v>20.992647268976828</v>
      </c>
      <c r="AU214" s="95">
        <f t="shared" si="102"/>
        <v>21.184583216537135</v>
      </c>
      <c r="AV214" s="95">
        <f t="shared" si="102"/>
        <v>21.243750014369422</v>
      </c>
      <c r="AW214" s="95">
        <f t="shared" si="102"/>
        <v>21.071681343359494</v>
      </c>
      <c r="AX214" s="95">
        <f t="shared" si="102"/>
        <v>21.358933605838764</v>
      </c>
      <c r="AY214" s="95">
        <f t="shared" si="102"/>
        <v>21.290766005126944</v>
      </c>
      <c r="AZ214" s="95">
        <f t="shared" si="102"/>
        <v>21.81166000786979</v>
      </c>
      <c r="BA214" s="95">
        <f t="shared" si="102"/>
        <v>22.274587821717983</v>
      </c>
      <c r="BB214" s="95">
        <f t="shared" si="102"/>
        <v>22.550106878809494</v>
      </c>
      <c r="BC214" s="95">
        <f t="shared" si="102"/>
        <v>22.949275318893516</v>
      </c>
      <c r="BD214" s="95">
        <f t="shared" si="102"/>
        <v>23.082251773165044</v>
      </c>
      <c r="BE214" s="95">
        <f t="shared" si="102"/>
        <v>23.55857256529524</v>
      </c>
      <c r="BF214" s="95">
        <f t="shared" si="102"/>
        <v>24.063218058180382</v>
      </c>
      <c r="BG214" s="95">
        <f t="shared" si="102"/>
        <v>24.221166313441127</v>
      </c>
      <c r="BH214" s="95">
        <f t="shared" si="102"/>
        <v>24.310046237342778</v>
      </c>
      <c r="BI214" s="95">
        <f t="shared" si="102"/>
        <v>24.799771175915922</v>
      </c>
      <c r="BJ214" s="95">
        <f t="shared" si="102"/>
        <v>25.498151536182831</v>
      </c>
      <c r="BK214" s="33"/>
    </row>
    <row r="215" spans="1:63" s="19" customFormat="1" x14ac:dyDescent="0.25">
      <c r="A215" s="6"/>
      <c r="B215" s="98">
        <f>(N215/X215)^(1/10)</f>
        <v>0.99792001780800754</v>
      </c>
      <c r="C215" s="19" t="s">
        <v>285</v>
      </c>
      <c r="D215" s="99">
        <f t="shared" si="100"/>
        <v>21.984638095867581</v>
      </c>
      <c r="E215" s="99">
        <f t="shared" si="100"/>
        <v>22.030461062559088</v>
      </c>
      <c r="F215" s="99">
        <f t="shared" si="100"/>
        <v>22.076379538863591</v>
      </c>
      <c r="G215" s="99">
        <f t="shared" si="100"/>
        <v>22.122393723853452</v>
      </c>
      <c r="H215" s="99">
        <f t="shared" si="100"/>
        <v>22.168503817015964</v>
      </c>
      <c r="I215" s="99">
        <f t="shared" si="100"/>
        <v>22.214710018254209</v>
      </c>
      <c r="J215" s="99">
        <f t="shared" si="100"/>
        <v>22.261012527887935</v>
      </c>
      <c r="K215" s="99">
        <f t="shared" si="100"/>
        <v>22.307411546654425</v>
      </c>
      <c r="L215" s="99">
        <f t="shared" si="100"/>
        <v>22.35390727570935</v>
      </c>
      <c r="M215" s="99">
        <f>N215*$B215</f>
        <v>22.400499916627663</v>
      </c>
      <c r="N215" s="95">
        <f t="shared" ref="N215:AS215" si="103">(N$120*(N209*N213/(N$184*N$188+N$185*N$189))*1000000000/1.609)/(N209*1000000*$N$5)</f>
        <v>22.447189671404463</v>
      </c>
      <c r="O215" s="95">
        <f t="shared" si="103"/>
        <v>22.645023482914574</v>
      </c>
      <c r="P215" s="95">
        <f t="shared" si="103"/>
        <v>22.470960760551254</v>
      </c>
      <c r="Q215" s="95">
        <f t="shared" si="103"/>
        <v>22.179963820370983</v>
      </c>
      <c r="R215" s="95">
        <f t="shared" si="103"/>
        <v>22.371161533996947</v>
      </c>
      <c r="S215" s="95">
        <f t="shared" si="103"/>
        <v>23.082887092532705</v>
      </c>
      <c r="T215" s="95">
        <f t="shared" si="103"/>
        <v>23.160526954111237</v>
      </c>
      <c r="U215" s="95">
        <f t="shared" si="103"/>
        <v>22.91679343576056</v>
      </c>
      <c r="V215" s="95">
        <f t="shared" si="103"/>
        <v>22.544259191128404</v>
      </c>
      <c r="W215" s="95">
        <f t="shared" si="103"/>
        <v>22.036116072965022</v>
      </c>
      <c r="X215" s="95">
        <f t="shared" si="103"/>
        <v>22.919473222473478</v>
      </c>
      <c r="Y215" s="95">
        <f t="shared" si="103"/>
        <v>23.935673801503139</v>
      </c>
      <c r="Z215" s="95">
        <f t="shared" si="103"/>
        <v>23.962771922377456</v>
      </c>
      <c r="AA215" s="95">
        <f t="shared" si="103"/>
        <v>23.859740648973631</v>
      </c>
      <c r="AB215" s="95">
        <f t="shared" si="103"/>
        <v>24.261542698590176</v>
      </c>
      <c r="AC215" s="95">
        <f t="shared" si="103"/>
        <v>24.621115122568618</v>
      </c>
      <c r="AD215" s="95">
        <f t="shared" si="103"/>
        <v>24.539828954864181</v>
      </c>
      <c r="AE215" s="95">
        <f t="shared" si="103"/>
        <v>25.381563368099044</v>
      </c>
      <c r="AF215" s="95">
        <f t="shared" si="103"/>
        <v>25.770862731205</v>
      </c>
      <c r="AG215" s="95">
        <f t="shared" si="103"/>
        <v>26.417651260257891</v>
      </c>
      <c r="AH215" s="95">
        <f t="shared" si="103"/>
        <v>25.66707866208295</v>
      </c>
      <c r="AI215" s="95">
        <f t="shared" si="103"/>
        <v>25.62029409887958</v>
      </c>
      <c r="AJ215" s="95">
        <f t="shared" si="103"/>
        <v>25.158972225141675</v>
      </c>
      <c r="AK215" s="95">
        <f t="shared" si="103"/>
        <v>24.762736996603081</v>
      </c>
      <c r="AL215" s="95">
        <f t="shared" si="103"/>
        <v>25.180016096751267</v>
      </c>
      <c r="AM215" s="95">
        <f t="shared" si="103"/>
        <v>25.779896276892913</v>
      </c>
      <c r="AN215" s="95">
        <f t="shared" si="103"/>
        <v>25.259843646393172</v>
      </c>
      <c r="AO215" s="95">
        <f t="shared" si="103"/>
        <v>25.294980691683893</v>
      </c>
      <c r="AP215" s="95">
        <f t="shared" si="103"/>
        <v>25.783731046468777</v>
      </c>
      <c r="AQ215" s="95">
        <f t="shared" si="103"/>
        <v>25.751843762694651</v>
      </c>
      <c r="AR215" s="95">
        <f t="shared" si="103"/>
        <v>25.695978367015744</v>
      </c>
      <c r="AS215" s="95">
        <f t="shared" si="103"/>
        <v>25.985094527578763</v>
      </c>
      <c r="AT215" s="95">
        <f t="shared" ref="AT215:BJ215" si="104">(AT$120*(AT209*AT213/(AT$184*AT$188+AT$185*AT$189))*1000000000/1.609)/(AT209*1000000*$N$5)</f>
        <v>25.985061260489818</v>
      </c>
      <c r="AU215" s="95">
        <f t="shared" si="104"/>
        <v>26.166803957538875</v>
      </c>
      <c r="AV215" s="95">
        <f t="shared" si="104"/>
        <v>26.183002669176428</v>
      </c>
      <c r="AW215" s="95">
        <f t="shared" si="104"/>
        <v>25.897231513581872</v>
      </c>
      <c r="AX215" s="95">
        <f t="shared" si="104"/>
        <v>26.159477610922789</v>
      </c>
      <c r="AY215" s="95">
        <f t="shared" si="104"/>
        <v>25.996144906686911</v>
      </c>
      <c r="AZ215" s="95">
        <f t="shared" si="104"/>
        <v>26.539927616787072</v>
      </c>
      <c r="BA215" s="95">
        <f t="shared" si="104"/>
        <v>27.029122783229123</v>
      </c>
      <c r="BB215" s="95">
        <f t="shared" si="104"/>
        <v>27.256210426279388</v>
      </c>
      <c r="BC215" s="95">
        <f t="shared" si="104"/>
        <v>27.618689371617648</v>
      </c>
      <c r="BD215" s="95">
        <f t="shared" si="104"/>
        <v>27.643895466912948</v>
      </c>
      <c r="BE215" s="95">
        <f t="shared" si="104"/>
        <v>28.105078024398242</v>
      </c>
      <c r="BF215" s="95">
        <f t="shared" si="104"/>
        <v>28.625322204418605</v>
      </c>
      <c r="BG215" s="95">
        <f t="shared" si="104"/>
        <v>28.718868471636522</v>
      </c>
      <c r="BH215" s="95">
        <f t="shared" si="104"/>
        <v>28.740673074748337</v>
      </c>
      <c r="BI215" s="95">
        <f t="shared" si="104"/>
        <v>29.276138165846227</v>
      </c>
      <c r="BJ215" s="95">
        <f t="shared" si="104"/>
        <v>30.099480081898946</v>
      </c>
      <c r="BK215" s="33"/>
    </row>
    <row r="216" spans="1:63" s="19" customFormat="1" x14ac:dyDescent="0.25">
      <c r="A216" s="6"/>
      <c r="C216" s="19" t="s">
        <v>268</v>
      </c>
      <c r="D216" s="100">
        <f>D208/D239</f>
        <v>0.94088889785295304</v>
      </c>
      <c r="E216" s="100">
        <f t="shared" ref="E216:M216" si="105">E208/E239</f>
        <v>0.94617185915373336</v>
      </c>
      <c r="F216" s="100">
        <f t="shared" si="105"/>
        <v>0.95372396536480497</v>
      </c>
      <c r="G216" s="100">
        <f t="shared" si="105"/>
        <v>0.9616671415228184</v>
      </c>
      <c r="H216" s="100">
        <f t="shared" si="105"/>
        <v>0.96520287587114506</v>
      </c>
      <c r="I216" s="100">
        <f t="shared" si="105"/>
        <v>0.97086957458672651</v>
      </c>
      <c r="J216" s="100">
        <f t="shared" si="105"/>
        <v>0.97554176199030684</v>
      </c>
      <c r="K216" s="100">
        <f t="shared" si="105"/>
        <v>0.98008387306565381</v>
      </c>
      <c r="L216" s="100">
        <f t="shared" si="105"/>
        <v>0.98288750400281866</v>
      </c>
      <c r="M216" s="100">
        <f t="shared" si="105"/>
        <v>0.98507728481589751</v>
      </c>
      <c r="N216" s="46">
        <f t="shared" ref="N216:BJ216" si="106">N208/N$239</f>
        <v>0.98545950556214812</v>
      </c>
      <c r="O216" s="46">
        <f t="shared" si="106"/>
        <v>0.98663361817216866</v>
      </c>
      <c r="P216" s="46">
        <f t="shared" si="106"/>
        <v>0.98828689459297669</v>
      </c>
      <c r="Q216" s="46">
        <f t="shared" si="106"/>
        <v>0.98829620859119527</v>
      </c>
      <c r="R216" s="46">
        <f t="shared" si="106"/>
        <v>0.98706804518409685</v>
      </c>
      <c r="S216" s="46">
        <f t="shared" si="106"/>
        <v>0.98468159219329443</v>
      </c>
      <c r="T216" s="46">
        <f t="shared" si="106"/>
        <v>0.98168893269926116</v>
      </c>
      <c r="U216" s="46">
        <f t="shared" si="106"/>
        <v>0.98241613628924485</v>
      </c>
      <c r="V216" s="46">
        <f t="shared" si="106"/>
        <v>0.98326861872951143</v>
      </c>
      <c r="W216" s="46">
        <f t="shared" si="106"/>
        <v>0.98250255628787386</v>
      </c>
      <c r="X216" s="46">
        <f t="shared" si="106"/>
        <v>0.98030022276346296</v>
      </c>
      <c r="Y216" s="46">
        <f t="shared" si="106"/>
        <v>0.97768722307994338</v>
      </c>
      <c r="Z216" s="46">
        <f t="shared" si="106"/>
        <v>0.97746777254608619</v>
      </c>
      <c r="AA216" s="46">
        <f t="shared" si="106"/>
        <v>0.97994477270404623</v>
      </c>
      <c r="AB216" s="46">
        <f t="shared" si="106"/>
        <v>0.98127927139843341</v>
      </c>
      <c r="AC216" s="46">
        <f t="shared" si="106"/>
        <v>0.9834149658284278</v>
      </c>
      <c r="AD216" s="46">
        <f t="shared" si="106"/>
        <v>0.98489892721892858</v>
      </c>
      <c r="AE216" s="46">
        <f t="shared" si="106"/>
        <v>0.98658199462636309</v>
      </c>
      <c r="AF216" s="46">
        <f t="shared" si="106"/>
        <v>0.9886943850656118</v>
      </c>
      <c r="AG216" s="46">
        <f t="shared" si="106"/>
        <v>0.98980954321837367</v>
      </c>
      <c r="AH216" s="46">
        <f t="shared" si="106"/>
        <v>0.99015893669011912</v>
      </c>
      <c r="AI216" s="46">
        <f t="shared" si="106"/>
        <v>0.99036570427256787</v>
      </c>
      <c r="AJ216" s="46">
        <f t="shared" si="106"/>
        <v>0.99179059139971792</v>
      </c>
      <c r="AK216" s="46">
        <f t="shared" si="106"/>
        <v>0.99296426575298868</v>
      </c>
      <c r="AL216" s="46">
        <f t="shared" si="106"/>
        <v>0.99285079726843706</v>
      </c>
      <c r="AM216" s="46">
        <f t="shared" si="106"/>
        <v>0.9927196773389777</v>
      </c>
      <c r="AN216" s="46">
        <f t="shared" si="106"/>
        <v>0.99259035140953444</v>
      </c>
      <c r="AO216" s="46">
        <f t="shared" si="106"/>
        <v>0.99199822639259772</v>
      </c>
      <c r="AP216" s="46">
        <f t="shared" si="106"/>
        <v>0.99161786162603738</v>
      </c>
      <c r="AQ216" s="46">
        <f t="shared" si="106"/>
        <v>0.99068715338341351</v>
      </c>
      <c r="AR216" s="46">
        <f t="shared" si="106"/>
        <v>0.99052949722975625</v>
      </c>
      <c r="AS216" s="46">
        <f t="shared" si="106"/>
        <v>0.99008819721098285</v>
      </c>
      <c r="AT216" s="46">
        <f t="shared" si="106"/>
        <v>0.98958723517192715</v>
      </c>
      <c r="AU216" s="46">
        <f t="shared" si="106"/>
        <v>0.98814196879441241</v>
      </c>
      <c r="AV216" s="46">
        <f t="shared" si="106"/>
        <v>0.98889691767752819</v>
      </c>
      <c r="AW216" s="46">
        <f t="shared" si="106"/>
        <v>0.98798726689018934</v>
      </c>
      <c r="AX216" s="46">
        <f t="shared" si="106"/>
        <v>0.98832828277729123</v>
      </c>
      <c r="AY216" s="46">
        <f t="shared" si="106"/>
        <v>0.98720162022106828</v>
      </c>
      <c r="AZ216" s="46">
        <f t="shared" si="106"/>
        <v>0.987509063161923</v>
      </c>
      <c r="BA216" s="46">
        <f t="shared" si="106"/>
        <v>0.98712586432955352</v>
      </c>
      <c r="BB216" s="46">
        <f t="shared" si="106"/>
        <v>0.98781777414006433</v>
      </c>
      <c r="BC216" s="46">
        <f t="shared" si="106"/>
        <v>0.98727797771311732</v>
      </c>
      <c r="BD216" s="46">
        <f t="shared" si="106"/>
        <v>0.98704948821737681</v>
      </c>
      <c r="BE216" s="46">
        <f t="shared" si="106"/>
        <v>0.98705989502854352</v>
      </c>
      <c r="BF216" s="46">
        <f t="shared" si="106"/>
        <v>0.9863992226389493</v>
      </c>
      <c r="BG216" s="46">
        <f t="shared" si="106"/>
        <v>0.98595648725474927</v>
      </c>
      <c r="BH216" s="46">
        <f t="shared" si="106"/>
        <v>0.98564426542800798</v>
      </c>
      <c r="BI216" s="46">
        <f t="shared" si="106"/>
        <v>0.98535416248548557</v>
      </c>
      <c r="BJ216" s="46">
        <f t="shared" si="106"/>
        <v>0.98541977125381441</v>
      </c>
      <c r="BK216" s="33"/>
    </row>
    <row r="217" spans="1:63" s="19" customFormat="1" x14ac:dyDescent="0.25">
      <c r="A217" s="6"/>
      <c r="C217" s="19" t="s">
        <v>269</v>
      </c>
      <c r="D217" s="100">
        <f>E217-0.003</f>
        <v>4.5435624158031776E-2</v>
      </c>
      <c r="E217" s="100">
        <f t="shared" ref="E217:L217" si="107">F217-0.003</f>
        <v>4.8435624158031779E-2</v>
      </c>
      <c r="F217" s="100">
        <f t="shared" si="107"/>
        <v>5.1435624158031781E-2</v>
      </c>
      <c r="G217" s="100">
        <f t="shared" si="107"/>
        <v>5.4435624158031784E-2</v>
      </c>
      <c r="H217" s="100">
        <f t="shared" si="107"/>
        <v>5.7435624158031787E-2</v>
      </c>
      <c r="I217" s="100">
        <f t="shared" si="107"/>
        <v>6.0435624158031789E-2</v>
      </c>
      <c r="J217" s="100">
        <f t="shared" si="107"/>
        <v>6.3435624158031792E-2</v>
      </c>
      <c r="K217" s="100">
        <f t="shared" si="107"/>
        <v>6.6435624158031795E-2</v>
      </c>
      <c r="L217" s="100">
        <f t="shared" si="107"/>
        <v>6.9435624158031797E-2</v>
      </c>
      <c r="M217" s="100">
        <f>N217-0.003</f>
        <v>7.24356241580318E-2</v>
      </c>
      <c r="N217" s="46">
        <f>N209/N$240</f>
        <v>7.5435624158031803E-2</v>
      </c>
      <c r="O217" s="46">
        <f t="shared" ref="O217:BI217" si="108">O209/O$240</f>
        <v>7.8852475836911726E-2</v>
      </c>
      <c r="P217" s="46">
        <f t="shared" si="108"/>
        <v>8.3503023520660982E-2</v>
      </c>
      <c r="Q217" s="46">
        <f t="shared" si="108"/>
        <v>8.5789866466366119E-2</v>
      </c>
      <c r="R217" s="46">
        <f t="shared" si="108"/>
        <v>8.9376904871638574E-2</v>
      </c>
      <c r="S217" s="46">
        <f t="shared" si="108"/>
        <v>8.8697332608159998E-2</v>
      </c>
      <c r="T217" s="46">
        <f t="shared" si="108"/>
        <v>8.6549691534662854E-2</v>
      </c>
      <c r="U217" s="46">
        <f t="shared" si="108"/>
        <v>9.1094614457192358E-2</v>
      </c>
      <c r="V217" s="46">
        <f t="shared" si="108"/>
        <v>9.1805532966471773E-2</v>
      </c>
      <c r="W217" s="46">
        <f t="shared" si="108"/>
        <v>9.1053710147443651E-2</v>
      </c>
      <c r="X217" s="46">
        <f t="shared" si="108"/>
        <v>9.5357305719250773E-2</v>
      </c>
      <c r="Y217" s="46">
        <f t="shared" si="108"/>
        <v>0.10076975190374193</v>
      </c>
      <c r="Z217" s="46">
        <f t="shared" si="108"/>
        <v>0.10381737597207294</v>
      </c>
      <c r="AA217" s="46">
        <f t="shared" si="108"/>
        <v>0.10088066719290763</v>
      </c>
      <c r="AB217" s="46">
        <f t="shared" si="108"/>
        <v>0.10112060882338759</v>
      </c>
      <c r="AC217" s="46">
        <f t="shared" si="108"/>
        <v>0.10344298557106475</v>
      </c>
      <c r="AD217" s="46">
        <f t="shared" si="108"/>
        <v>0.10551876553928574</v>
      </c>
      <c r="AE217" s="46">
        <f t="shared" si="108"/>
        <v>0.11604319949188083</v>
      </c>
      <c r="AF217" s="46">
        <f t="shared" si="108"/>
        <v>0.1313107702199873</v>
      </c>
      <c r="AG217" s="46">
        <f t="shared" si="108"/>
        <v>0.18308705878705817</v>
      </c>
      <c r="AH217" s="46">
        <f t="shared" si="108"/>
        <v>0.22706424408819331</v>
      </c>
      <c r="AI217" s="46">
        <f t="shared" si="108"/>
        <v>0.25712849219513473</v>
      </c>
      <c r="AJ217" s="46">
        <f t="shared" si="108"/>
        <v>0.29123310372343347</v>
      </c>
      <c r="AK217" s="46">
        <f t="shared" si="108"/>
        <v>0.32501606863542304</v>
      </c>
      <c r="AL217" s="46">
        <f t="shared" si="108"/>
        <v>0.36632547502550677</v>
      </c>
      <c r="AM217" s="46">
        <f t="shared" si="108"/>
        <v>0.39770004236065876</v>
      </c>
      <c r="AN217" s="46">
        <f t="shared" si="108"/>
        <v>0.42190033516566056</v>
      </c>
      <c r="AO217" s="46">
        <f t="shared" si="108"/>
        <v>0.44456086233744452</v>
      </c>
      <c r="AP217" s="46">
        <f t="shared" si="108"/>
        <v>0.45826593465709747</v>
      </c>
      <c r="AQ217" s="46">
        <f t="shared" si="108"/>
        <v>0.48194075696589017</v>
      </c>
      <c r="AR217" s="46">
        <f t="shared" si="108"/>
        <v>0.49882365523973893</v>
      </c>
      <c r="AS217" s="46">
        <f t="shared" si="108"/>
        <v>0.51509572768953982</v>
      </c>
      <c r="AT217" s="46">
        <f t="shared" si="108"/>
        <v>0.53130430500482084</v>
      </c>
      <c r="AU217" s="46">
        <f t="shared" si="108"/>
        <v>0.54618037415692444</v>
      </c>
      <c r="AV217" s="46">
        <f t="shared" si="108"/>
        <v>0.56287817084313652</v>
      </c>
      <c r="AW217" s="46">
        <f t="shared" si="108"/>
        <v>0.57901174816904633</v>
      </c>
      <c r="AX217" s="46">
        <f t="shared" si="108"/>
        <v>0.59391252353197777</v>
      </c>
      <c r="AY217" s="46">
        <f t="shared" si="108"/>
        <v>0.60680427812644999</v>
      </c>
      <c r="AZ217" s="46">
        <f t="shared" si="108"/>
        <v>0.62808450125601156</v>
      </c>
      <c r="BA217" s="46">
        <f t="shared" si="108"/>
        <v>0.64644414458305</v>
      </c>
      <c r="BB217" s="46">
        <f t="shared" si="108"/>
        <v>0.64738521382653813</v>
      </c>
      <c r="BC217" s="46">
        <f t="shared" si="108"/>
        <v>0.66408863369380799</v>
      </c>
      <c r="BD217" s="46">
        <f t="shared" si="108"/>
        <v>0.67521815866595591</v>
      </c>
      <c r="BE217" s="46">
        <f t="shared" si="108"/>
        <v>0.67927440458788035</v>
      </c>
      <c r="BF217" s="46">
        <f t="shared" si="108"/>
        <v>0.68298917307579088</v>
      </c>
      <c r="BG217" s="46">
        <f t="shared" si="108"/>
        <v>0.68451219605605318</v>
      </c>
      <c r="BH217" s="46">
        <f t="shared" si="108"/>
        <v>0.69061723206623615</v>
      </c>
      <c r="BI217" s="46">
        <f t="shared" si="108"/>
        <v>0.69273636956892637</v>
      </c>
      <c r="BJ217" s="46">
        <f>BJ209/BJ$240</f>
        <v>0.69236078823845892</v>
      </c>
      <c r="BK217" s="33"/>
    </row>
    <row r="218" spans="1:63" s="19" customFormat="1" x14ac:dyDescent="0.25">
      <c r="A218" s="6"/>
      <c r="D218" s="104">
        <f>D236+D225+D217</f>
        <v>0.98827194569055288</v>
      </c>
      <c r="E218" s="104">
        <f t="shared" ref="E218:M218" si="109">E236+E225+E217</f>
        <v>0.96640502426483188</v>
      </c>
      <c r="F218" s="104">
        <f t="shared" si="109"/>
        <v>0.95059593107667495</v>
      </c>
      <c r="G218" s="104">
        <f t="shared" si="109"/>
        <v>0.93552491699166274</v>
      </c>
      <c r="H218" s="104">
        <f t="shared" si="109"/>
        <v>0.96028261992212993</v>
      </c>
      <c r="I218" s="104">
        <f t="shared" si="109"/>
        <v>0.94151599432127264</v>
      </c>
      <c r="J218" s="104">
        <f t="shared" si="109"/>
        <v>0.95582832543538121</v>
      </c>
      <c r="K218" s="104">
        <f t="shared" si="109"/>
        <v>0.93754357481779171</v>
      </c>
      <c r="L218" s="104">
        <f t="shared" si="109"/>
        <v>0.93797500692341962</v>
      </c>
      <c r="M218" s="104">
        <f t="shared" si="109"/>
        <v>0.9376599584140749</v>
      </c>
      <c r="N218" s="97"/>
      <c r="O218" s="97"/>
      <c r="P218" s="97"/>
      <c r="Q218" s="97"/>
      <c r="R218" s="97"/>
      <c r="S218" s="97"/>
      <c r="T218" s="97"/>
      <c r="U218" s="97"/>
      <c r="V218" s="97"/>
      <c r="W218" s="97"/>
      <c r="X218" s="97"/>
      <c r="Y218" s="97"/>
      <c r="Z218" s="97"/>
      <c r="AA218" s="97"/>
      <c r="AB218" s="97"/>
      <c r="AC218" s="97"/>
      <c r="AD218" s="97"/>
      <c r="AE218" s="97"/>
      <c r="AF218" s="97"/>
      <c r="AG218" s="97"/>
      <c r="AH218" s="97"/>
      <c r="AI218" s="97"/>
      <c r="AJ218" s="97"/>
      <c r="AK218" s="97"/>
      <c r="AL218" s="97"/>
      <c r="AM218" s="97"/>
      <c r="AN218" s="97"/>
      <c r="AO218" s="97"/>
      <c r="AP218" s="97"/>
      <c r="AQ218" s="97"/>
      <c r="AR218" s="97"/>
      <c r="AS218" s="97"/>
      <c r="AT218" s="97"/>
      <c r="AU218" s="97"/>
      <c r="AV218" s="97"/>
      <c r="AW218" s="97"/>
      <c r="AX218" s="97"/>
      <c r="AY218" s="97"/>
      <c r="AZ218" s="97"/>
      <c r="BA218" s="97"/>
      <c r="BC218" s="101"/>
      <c r="BD218" s="97"/>
      <c r="BE218" s="97"/>
      <c r="BF218" s="97"/>
      <c r="BG218" s="97"/>
      <c r="BH218" s="97"/>
      <c r="BI218" s="97"/>
      <c r="BJ218" s="97"/>
      <c r="BK218" s="33"/>
    </row>
    <row r="219" spans="1:63" s="19" customFormat="1" x14ac:dyDescent="0.25">
      <c r="A219" s="6"/>
      <c r="N219" s="97"/>
      <c r="O219" s="97"/>
      <c r="P219" s="97"/>
      <c r="Q219" s="97"/>
      <c r="R219" s="97"/>
      <c r="S219" s="97"/>
      <c r="T219" s="97"/>
      <c r="U219" s="97"/>
      <c r="V219" s="97"/>
      <c r="W219" s="97"/>
      <c r="X219" s="97"/>
      <c r="Y219" s="97"/>
      <c r="Z219" s="97"/>
      <c r="AA219" s="97"/>
      <c r="AB219" s="97"/>
      <c r="AC219" s="97"/>
      <c r="AD219" s="97"/>
      <c r="AE219" s="97"/>
      <c r="AF219" s="97"/>
      <c r="AG219" s="97"/>
      <c r="AH219" s="97"/>
      <c r="AI219" s="97"/>
      <c r="AJ219" s="97"/>
      <c r="AK219" s="97"/>
      <c r="AL219" s="97"/>
      <c r="AM219" s="97"/>
      <c r="AN219" s="97"/>
      <c r="AO219" s="97"/>
      <c r="AP219" s="97"/>
      <c r="AQ219" s="97"/>
      <c r="AR219" s="97"/>
      <c r="AS219" s="97"/>
      <c r="AT219" s="97"/>
      <c r="AU219" s="97"/>
      <c r="AV219" s="97"/>
      <c r="AW219" s="97"/>
      <c r="AX219" s="97"/>
      <c r="AY219" s="97"/>
      <c r="AZ219" s="97"/>
      <c r="BA219" s="97"/>
      <c r="BC219" s="101"/>
      <c r="BD219" s="97"/>
      <c r="BE219" s="97"/>
      <c r="BF219" s="97"/>
      <c r="BG219" s="97"/>
      <c r="BH219" s="97"/>
      <c r="BI219" s="97"/>
      <c r="BJ219" s="97"/>
      <c r="BK219" s="33"/>
    </row>
    <row r="220" spans="1:63" x14ac:dyDescent="0.25">
      <c r="A220" s="14" t="s">
        <v>177</v>
      </c>
      <c r="C220" s="6" t="s">
        <v>286</v>
      </c>
      <c r="D220" s="95">
        <f t="shared" ref="D220:M220" si="110">$N220*D122/$N122*D224/$N224</f>
        <v>1.8083847361537315</v>
      </c>
      <c r="E220" s="95">
        <f t="shared" si="110"/>
        <v>1.9236003841635263</v>
      </c>
      <c r="F220" s="95">
        <f t="shared" si="110"/>
        <v>2.0248425096458171</v>
      </c>
      <c r="G220" s="95">
        <f t="shared" si="110"/>
        <v>2.175817609049234</v>
      </c>
      <c r="H220" s="95">
        <f t="shared" si="110"/>
        <v>2.5240419095307973</v>
      </c>
      <c r="I220" s="95">
        <f t="shared" si="110"/>
        <v>2.6322854222202272</v>
      </c>
      <c r="J220" s="95">
        <f t="shared" si="110"/>
        <v>2.8226179146286756</v>
      </c>
      <c r="K220" s="95">
        <f t="shared" si="110"/>
        <v>2.9166597476124405</v>
      </c>
      <c r="L220" s="95">
        <f t="shared" si="110"/>
        <v>3.127554476042854</v>
      </c>
      <c r="M220" s="95">
        <f t="shared" si="110"/>
        <v>3.2619592796970376</v>
      </c>
      <c r="N220" s="93">
        <v>3.4654343224851569</v>
      </c>
      <c r="O220" s="93">
        <v>3.5876839640058305</v>
      </c>
      <c r="P220" s="93">
        <v>3.6310914698703018</v>
      </c>
      <c r="Q220" s="93">
        <v>3.9397828409264499</v>
      </c>
      <c r="R220" s="93">
        <v>3.8744060323636162</v>
      </c>
      <c r="S220" s="93">
        <v>3.820722070042712</v>
      </c>
      <c r="T220" s="93">
        <v>3.9779915717782677</v>
      </c>
      <c r="U220" s="93">
        <v>4.0558612992876224</v>
      </c>
      <c r="V220" s="93">
        <v>4.1878568954477888</v>
      </c>
      <c r="W220" s="93">
        <v>4.3367333291442183</v>
      </c>
      <c r="X220" s="93">
        <v>4.1171788668012672</v>
      </c>
      <c r="Y220" s="93">
        <v>3.851977420256413</v>
      </c>
      <c r="Z220" s="93">
        <v>3.9488598602292146</v>
      </c>
      <c r="AA220" s="93">
        <v>4.2607580881740006</v>
      </c>
      <c r="AB220" s="93">
        <v>4.6709906079172896</v>
      </c>
      <c r="AC220" s="93">
        <v>4.9760916973114346</v>
      </c>
      <c r="AD220" s="93">
        <v>5.5367266017358521</v>
      </c>
      <c r="AE220" s="93">
        <v>5.8934758974056685</v>
      </c>
      <c r="AF220" s="93">
        <v>6.4311889704320713</v>
      </c>
      <c r="AG220" s="93">
        <v>6.4202936010354144</v>
      </c>
      <c r="AH220" s="93">
        <v>6.3714736925397775</v>
      </c>
      <c r="AI220" s="93">
        <v>6.0573308759892104</v>
      </c>
      <c r="AJ220" s="93">
        <v>6.0316525248792736</v>
      </c>
      <c r="AK220" s="93">
        <v>6.1187087092200292</v>
      </c>
      <c r="AL220" s="93">
        <v>6.3139031486549602</v>
      </c>
      <c r="AM220" s="93">
        <v>6.2168457355154763</v>
      </c>
      <c r="AN220" s="93">
        <v>6.4002843586638001</v>
      </c>
      <c r="AO220" s="93">
        <v>6.4185338229785085</v>
      </c>
      <c r="AP220" s="93">
        <v>6.3512967693779556</v>
      </c>
      <c r="AQ220" s="93">
        <v>6.2401798932595511</v>
      </c>
      <c r="AR220" s="93">
        <v>6.1443898556809264</v>
      </c>
      <c r="AS220" s="93">
        <v>6.1377790844196625</v>
      </c>
      <c r="AT220" s="93">
        <v>6.2918209631176545</v>
      </c>
      <c r="AU220" s="93">
        <v>6.3602688130871874</v>
      </c>
      <c r="AV220" s="93">
        <v>6.4766670470421701</v>
      </c>
      <c r="AW220" s="93">
        <v>6.5521888614432555</v>
      </c>
      <c r="AX220" s="93">
        <v>6.5625296568268663</v>
      </c>
      <c r="AY220" s="93">
        <v>6.6216528218792767</v>
      </c>
      <c r="AZ220" s="93">
        <v>6.1571927166429496</v>
      </c>
      <c r="BA220" s="93">
        <v>5.663641479725765</v>
      </c>
      <c r="BB220" s="93">
        <v>5.8278264705435561</v>
      </c>
      <c r="BC220" s="94">
        <v>5.678189373432776</v>
      </c>
      <c r="BD220" s="48">
        <v>5.6874964653312645</v>
      </c>
      <c r="BE220" s="48">
        <v>5.7085540777007298</v>
      </c>
      <c r="BF220" s="48">
        <v>5.8634155039155207</v>
      </c>
      <c r="BG220" s="48">
        <v>6.1748592825857607</v>
      </c>
      <c r="BH220" s="48">
        <v>6.3897468691337531</v>
      </c>
      <c r="BI220" s="48">
        <v>6.4627457455958783</v>
      </c>
      <c r="BJ220" s="48">
        <v>6.4446939360363258</v>
      </c>
      <c r="BK220" s="105">
        <f t="array" ref="BK220">TREND(AZ220:BJ220,AZ207:BJ207,BK207)</f>
        <v>6.4137934407735884</v>
      </c>
    </row>
    <row r="221" spans="1:63" x14ac:dyDescent="0.25">
      <c r="A221" s="14"/>
      <c r="C221" s="19" t="s">
        <v>287</v>
      </c>
      <c r="D221" s="95"/>
      <c r="E221" s="95"/>
      <c r="F221" s="95"/>
      <c r="G221" s="95"/>
      <c r="H221" s="95"/>
      <c r="I221" s="95"/>
      <c r="J221" s="95"/>
      <c r="K221" s="95"/>
      <c r="L221" s="95"/>
      <c r="M221" s="95"/>
      <c r="N221" s="93">
        <f t="shared" ref="N221:BB221" si="111">N220/N130</f>
        <v>0.19759462669759878</v>
      </c>
      <c r="O221" s="93">
        <f t="shared" si="111"/>
        <v>0.19908572116697543</v>
      </c>
      <c r="P221" s="93">
        <f t="shared" si="111"/>
        <v>0.19795947520364079</v>
      </c>
      <c r="Q221" s="93">
        <f t="shared" si="111"/>
        <v>0.20404924595641444</v>
      </c>
      <c r="R221" s="93">
        <f t="shared" si="111"/>
        <v>0.20758267248685283</v>
      </c>
      <c r="S221" s="93">
        <f t="shared" si="111"/>
        <v>0.2082977369643732</v>
      </c>
      <c r="T221" s="93">
        <f t="shared" si="111"/>
        <v>0.20775948168538669</v>
      </c>
      <c r="U221" s="93">
        <f t="shared" si="111"/>
        <v>0.21544736600678993</v>
      </c>
      <c r="V221" s="93">
        <f t="shared" si="111"/>
        <v>0.21510495690294723</v>
      </c>
      <c r="W221" s="93">
        <f t="shared" si="111"/>
        <v>0.22092600684389135</v>
      </c>
      <c r="X221" s="93">
        <f t="shared" si="111"/>
        <v>0.20974125395069065</v>
      </c>
      <c r="Y221" s="93">
        <f t="shared" si="111"/>
        <v>0.2046170536595121</v>
      </c>
      <c r="Z221" s="93">
        <f t="shared" si="111"/>
        <v>0.2152835399686639</v>
      </c>
      <c r="AA221" s="93">
        <f t="shared" si="111"/>
        <v>0.22633148412901791</v>
      </c>
      <c r="AB221" s="93">
        <f t="shared" si="111"/>
        <v>0.23795406004734077</v>
      </c>
      <c r="AC221" s="93">
        <f t="shared" si="111"/>
        <v>0.25349681083411113</v>
      </c>
      <c r="AD221" s="93">
        <f t="shared" si="111"/>
        <v>0.27528783600924062</v>
      </c>
      <c r="AE221" s="93">
        <f t="shared" si="111"/>
        <v>0.26351216392529736</v>
      </c>
      <c r="AF221" s="93">
        <f t="shared" si="111"/>
        <v>0.27006823822216547</v>
      </c>
      <c r="AG221" s="93">
        <f t="shared" si="111"/>
        <v>0.252546734784378</v>
      </c>
      <c r="AH221" s="93">
        <f t="shared" si="111"/>
        <v>0.25547720253171785</v>
      </c>
      <c r="AI221" s="93">
        <f t="shared" si="111"/>
        <v>0.24767471116373405</v>
      </c>
      <c r="AJ221" s="93">
        <f t="shared" si="111"/>
        <v>0.25329029802291475</v>
      </c>
      <c r="AK221" s="93">
        <f t="shared" si="111"/>
        <v>0.25184120403936588</v>
      </c>
      <c r="AL221" s="93">
        <f t="shared" si="111"/>
        <v>0.25481274763929196</v>
      </c>
      <c r="AM221" s="93">
        <f t="shared" si="111"/>
        <v>0.24454397084105531</v>
      </c>
      <c r="AN221" s="93">
        <f t="shared" si="111"/>
        <v>0.24403696838198477</v>
      </c>
      <c r="AO221" s="93">
        <f t="shared" si="111"/>
        <v>0.23887094014501173</v>
      </c>
      <c r="AP221" s="93">
        <f t="shared" si="111"/>
        <v>0.22949747674338952</v>
      </c>
      <c r="AQ221" s="93">
        <f t="shared" si="111"/>
        <v>0.2216169721480796</v>
      </c>
      <c r="AR221" s="93">
        <f t="shared" si="111"/>
        <v>0.21821503527234046</v>
      </c>
      <c r="AS221" s="93">
        <f t="shared" si="111"/>
        <v>0.21923301702419803</v>
      </c>
      <c r="AT221" s="93">
        <f t="shared" si="111"/>
        <v>0.22218137193900978</v>
      </c>
      <c r="AU221" s="93">
        <f t="shared" si="111"/>
        <v>0.22332953454218285</v>
      </c>
      <c r="AV221" s="93">
        <f t="shared" si="111"/>
        <v>0.22116894142980659</v>
      </c>
      <c r="AW221" s="93">
        <f t="shared" si="111"/>
        <v>0.22623399148688819</v>
      </c>
      <c r="AX221" s="93">
        <f t="shared" si="111"/>
        <v>0.22659103849274451</v>
      </c>
      <c r="AY221" s="93">
        <f t="shared" si="111"/>
        <v>0.22611999883482597</v>
      </c>
      <c r="AZ221" s="93">
        <f t="shared" si="111"/>
        <v>0.21498427792553648</v>
      </c>
      <c r="BA221" s="93">
        <f t="shared" si="111"/>
        <v>0.21594945150269629</v>
      </c>
      <c r="BB221" s="93">
        <f t="shared" si="111"/>
        <v>0.22085473747303871</v>
      </c>
      <c r="BC221" s="94"/>
      <c r="BD221" s="48"/>
      <c r="BE221" s="48"/>
      <c r="BF221" s="48"/>
      <c r="BG221" s="48"/>
      <c r="BH221" s="48"/>
      <c r="BI221" s="48"/>
      <c r="BJ221" s="48"/>
      <c r="BK221" s="105"/>
    </row>
    <row r="222" spans="1:63" x14ac:dyDescent="0.25">
      <c r="A222" s="14"/>
      <c r="C222" s="19" t="s">
        <v>288</v>
      </c>
      <c r="D222" s="95"/>
      <c r="E222" s="95"/>
      <c r="F222" s="95"/>
      <c r="G222" s="95"/>
      <c r="H222" s="95"/>
      <c r="I222" s="95"/>
      <c r="J222" s="95"/>
      <c r="K222" s="95"/>
      <c r="L222" s="95"/>
      <c r="M222" s="95"/>
      <c r="N222" s="93">
        <f>N221*100</f>
        <v>19.759462669759877</v>
      </c>
      <c r="O222" s="93">
        <f t="shared" ref="O222:BB222" si="112">O221*100</f>
        <v>19.908572116697542</v>
      </c>
      <c r="P222" s="93">
        <f t="shared" si="112"/>
        <v>19.795947520364081</v>
      </c>
      <c r="Q222" s="93">
        <f t="shared" si="112"/>
        <v>20.404924595641443</v>
      </c>
      <c r="R222" s="93">
        <f t="shared" si="112"/>
        <v>20.758267248685282</v>
      </c>
      <c r="S222" s="93">
        <f t="shared" si="112"/>
        <v>20.829773696437321</v>
      </c>
      <c r="T222" s="93">
        <f t="shared" si="112"/>
        <v>20.775948168538669</v>
      </c>
      <c r="U222" s="93">
        <f t="shared" si="112"/>
        <v>21.544736600678995</v>
      </c>
      <c r="V222" s="93">
        <f t="shared" si="112"/>
        <v>21.510495690294722</v>
      </c>
      <c r="W222" s="93">
        <f t="shared" si="112"/>
        <v>22.092600684389136</v>
      </c>
      <c r="X222" s="93">
        <f t="shared" si="112"/>
        <v>20.974125395069066</v>
      </c>
      <c r="Y222" s="93">
        <f t="shared" si="112"/>
        <v>20.461705365951211</v>
      </c>
      <c r="Z222" s="93">
        <f t="shared" si="112"/>
        <v>21.52835399686639</v>
      </c>
      <c r="AA222" s="93">
        <f t="shared" si="112"/>
        <v>22.633148412901789</v>
      </c>
      <c r="AB222" s="93">
        <f t="shared" si="112"/>
        <v>23.795406004734076</v>
      </c>
      <c r="AC222" s="93">
        <f t="shared" si="112"/>
        <v>25.349681083411113</v>
      </c>
      <c r="AD222" s="93">
        <f t="shared" si="112"/>
        <v>27.528783600924061</v>
      </c>
      <c r="AE222" s="93">
        <f t="shared" si="112"/>
        <v>26.351216392529736</v>
      </c>
      <c r="AF222" s="93">
        <f t="shared" si="112"/>
        <v>27.006823822216546</v>
      </c>
      <c r="AG222" s="93">
        <f t="shared" si="112"/>
        <v>25.254673478437802</v>
      </c>
      <c r="AH222" s="93">
        <f t="shared" si="112"/>
        <v>25.547720253171786</v>
      </c>
      <c r="AI222" s="93">
        <f t="shared" si="112"/>
        <v>24.767471116373404</v>
      </c>
      <c r="AJ222" s="93">
        <f t="shared" si="112"/>
        <v>25.329029802291476</v>
      </c>
      <c r="AK222" s="93">
        <f t="shared" si="112"/>
        <v>25.184120403936589</v>
      </c>
      <c r="AL222" s="93">
        <f t="shared" si="112"/>
        <v>25.481274763929196</v>
      </c>
      <c r="AM222" s="93">
        <f t="shared" si="112"/>
        <v>24.45439708410553</v>
      </c>
      <c r="AN222" s="93">
        <f t="shared" si="112"/>
        <v>24.403696838198478</v>
      </c>
      <c r="AO222" s="93">
        <f t="shared" si="112"/>
        <v>23.887094014501173</v>
      </c>
      <c r="AP222" s="93">
        <f t="shared" si="112"/>
        <v>22.949747674338951</v>
      </c>
      <c r="AQ222" s="93">
        <f t="shared" si="112"/>
        <v>22.161697214807958</v>
      </c>
      <c r="AR222" s="93">
        <f t="shared" si="112"/>
        <v>21.821503527234047</v>
      </c>
      <c r="AS222" s="93">
        <f t="shared" si="112"/>
        <v>21.923301702419803</v>
      </c>
      <c r="AT222" s="93">
        <f t="shared" si="112"/>
        <v>22.218137193900979</v>
      </c>
      <c r="AU222" s="93">
        <f t="shared" si="112"/>
        <v>22.332953454218284</v>
      </c>
      <c r="AV222" s="93">
        <f t="shared" si="112"/>
        <v>22.116894142980659</v>
      </c>
      <c r="AW222" s="93">
        <f t="shared" si="112"/>
        <v>22.623399148688819</v>
      </c>
      <c r="AX222" s="93">
        <f t="shared" si="112"/>
        <v>22.659103849274452</v>
      </c>
      <c r="AY222" s="93">
        <f t="shared" si="112"/>
        <v>22.611999883482596</v>
      </c>
      <c r="AZ222" s="93">
        <f t="shared" si="112"/>
        <v>21.498427792553649</v>
      </c>
      <c r="BA222" s="93">
        <f t="shared" si="112"/>
        <v>21.594945150269631</v>
      </c>
      <c r="BB222" s="93">
        <f t="shared" si="112"/>
        <v>22.085473747303872</v>
      </c>
      <c r="BC222" s="94"/>
      <c r="BD222" s="48"/>
      <c r="BE222" s="48"/>
      <c r="BF222" s="48"/>
      <c r="BG222" s="48"/>
      <c r="BH222" s="48"/>
      <c r="BI222" s="48"/>
      <c r="BJ222" s="48"/>
      <c r="BK222" s="105"/>
    </row>
    <row r="223" spans="1:63" s="19" customFormat="1" x14ac:dyDescent="0.25">
      <c r="A223" s="6"/>
      <c r="C223" s="19" t="s">
        <v>289</v>
      </c>
      <c r="D223" s="106"/>
      <c r="E223" s="106"/>
      <c r="F223" s="106"/>
      <c r="G223" s="106"/>
      <c r="H223" s="106"/>
      <c r="I223" s="106"/>
      <c r="J223" s="106"/>
      <c r="K223" s="106"/>
      <c r="L223" s="106"/>
      <c r="M223" s="106"/>
      <c r="N223" s="97">
        <f t="shared" ref="N223:AS223" si="113">N130/N220</f>
        <v>5.0608663641973033</v>
      </c>
      <c r="O223" s="97">
        <f t="shared" si="113"/>
        <v>5.0229619388991171</v>
      </c>
      <c r="P223" s="97">
        <f t="shared" si="113"/>
        <v>5.0515389524613594</v>
      </c>
      <c r="Q223" s="97">
        <f t="shared" si="113"/>
        <v>4.9007777280078901</v>
      </c>
      <c r="R223" s="97">
        <f t="shared" si="113"/>
        <v>4.817357768931001</v>
      </c>
      <c r="S223" s="97">
        <f t="shared" si="113"/>
        <v>4.800820280496076</v>
      </c>
      <c r="T223" s="97">
        <f t="shared" si="113"/>
        <v>4.8132580611378071</v>
      </c>
      <c r="U223" s="97">
        <f t="shared" si="113"/>
        <v>4.6415048767339515</v>
      </c>
      <c r="V223" s="97">
        <f t="shared" si="113"/>
        <v>4.6488933328077042</v>
      </c>
      <c r="W223" s="97">
        <f t="shared" si="113"/>
        <v>4.5264023655965984</v>
      </c>
      <c r="X223" s="97">
        <f t="shared" si="113"/>
        <v>4.7677792573658211</v>
      </c>
      <c r="Y223" s="97">
        <f t="shared" si="113"/>
        <v>4.8871781804855079</v>
      </c>
      <c r="Z223" s="97">
        <f t="shared" si="113"/>
        <v>4.6450369598416925</v>
      </c>
      <c r="AA223" s="97">
        <f t="shared" si="113"/>
        <v>4.4182982489080498</v>
      </c>
      <c r="AB223" s="97">
        <f t="shared" si="113"/>
        <v>4.2024918583068125</v>
      </c>
      <c r="AC223" s="97">
        <f t="shared" si="113"/>
        <v>3.9448228035279</v>
      </c>
      <c r="AD223" s="97">
        <f t="shared" si="113"/>
        <v>3.6325615199591779</v>
      </c>
      <c r="AE223" s="97">
        <f t="shared" si="113"/>
        <v>3.7948912304613325</v>
      </c>
      <c r="AF223" s="97">
        <f t="shared" si="113"/>
        <v>3.7027678877860968</v>
      </c>
      <c r="AG223" s="97">
        <f t="shared" si="113"/>
        <v>3.9596631524608328</v>
      </c>
      <c r="AH223" s="97">
        <f t="shared" si="113"/>
        <v>3.9142435806022595</v>
      </c>
      <c r="AI223" s="97">
        <f t="shared" si="113"/>
        <v>4.0375539161885401</v>
      </c>
      <c r="AJ223" s="97">
        <f t="shared" si="113"/>
        <v>3.9480390990322562</v>
      </c>
      <c r="AK223" s="97">
        <f t="shared" si="113"/>
        <v>3.9707561112346323</v>
      </c>
      <c r="AL223" s="97">
        <f t="shared" si="113"/>
        <v>3.9244504416065586</v>
      </c>
      <c r="AM223" s="97">
        <f t="shared" si="113"/>
        <v>4.0892441410872635</v>
      </c>
      <c r="AN223" s="97">
        <f t="shared" si="113"/>
        <v>4.0977398081536807</v>
      </c>
      <c r="AO223" s="97">
        <f t="shared" si="113"/>
        <v>4.186361050837446</v>
      </c>
      <c r="AP223" s="97">
        <f t="shared" si="113"/>
        <v>4.357346382148422</v>
      </c>
      <c r="AQ223" s="97">
        <f t="shared" si="113"/>
        <v>4.5122897867759963</v>
      </c>
      <c r="AR223" s="97">
        <f t="shared" si="113"/>
        <v>4.5826356499769272</v>
      </c>
      <c r="AS223" s="97">
        <f t="shared" si="113"/>
        <v>4.5613567407578213</v>
      </c>
      <c r="AT223" s="97">
        <f t="shared" ref="AT223:BJ223" si="114">AT130/AT220</f>
        <v>4.5008273703274568</v>
      </c>
      <c r="AU223" s="97">
        <f t="shared" si="114"/>
        <v>4.4776881035907881</v>
      </c>
      <c r="AV223" s="97">
        <f t="shared" si="114"/>
        <v>4.5214305116045175</v>
      </c>
      <c r="AW223" s="97">
        <f t="shared" si="114"/>
        <v>4.420202257970403</v>
      </c>
      <c r="AX223" s="97">
        <f t="shared" si="114"/>
        <v>4.4132371988401484</v>
      </c>
      <c r="AY223" s="97">
        <f t="shared" si="114"/>
        <v>4.4224305906284327</v>
      </c>
      <c r="AZ223" s="97">
        <f t="shared" si="114"/>
        <v>4.6515029361652545</v>
      </c>
      <c r="BA223" s="97">
        <f t="shared" si="114"/>
        <v>4.6307133129602516</v>
      </c>
      <c r="BB223" s="97">
        <f t="shared" si="114"/>
        <v>4.5278630263572088</v>
      </c>
      <c r="BC223" s="97">
        <f t="shared" si="114"/>
        <v>4.5338396286061773</v>
      </c>
      <c r="BD223" s="97">
        <f t="shared" si="114"/>
        <v>4.4132598856108549</v>
      </c>
      <c r="BE223" s="97">
        <f t="shared" si="114"/>
        <v>4.4533518740422373</v>
      </c>
      <c r="BF223" s="97">
        <f t="shared" si="114"/>
        <v>4.4454976766687544</v>
      </c>
      <c r="BG223" s="97">
        <f t="shared" si="114"/>
        <v>4.3776220255306804</v>
      </c>
      <c r="BH223" s="97">
        <f t="shared" si="114"/>
        <v>4.280764255643855</v>
      </c>
      <c r="BI223" s="97">
        <f t="shared" si="114"/>
        <v>4.2822046680173589</v>
      </c>
      <c r="BJ223" s="97">
        <f t="shared" si="114"/>
        <v>4.3191655455277935</v>
      </c>
      <c r="BK223" s="33"/>
    </row>
    <row r="224" spans="1:63" s="19" customFormat="1" x14ac:dyDescent="0.25">
      <c r="A224" s="6"/>
      <c r="B224" s="107">
        <v>0.95</v>
      </c>
      <c r="C224" s="19" t="s">
        <v>290</v>
      </c>
      <c r="D224" s="99">
        <f t="shared" ref="D224:L224" si="115">E224*$B224</f>
        <v>4.9117474622851178</v>
      </c>
      <c r="E224" s="99">
        <f t="shared" si="115"/>
        <v>5.1702604866159136</v>
      </c>
      <c r="F224" s="99">
        <f t="shared" si="115"/>
        <v>5.4423794595956991</v>
      </c>
      <c r="G224" s="99">
        <f t="shared" si="115"/>
        <v>5.728820483784947</v>
      </c>
      <c r="H224" s="99">
        <f t="shared" si="115"/>
        <v>6.0303373513525758</v>
      </c>
      <c r="I224" s="99">
        <f t="shared" si="115"/>
        <v>6.3477235277395536</v>
      </c>
      <c r="J224" s="99">
        <f t="shared" si="115"/>
        <v>6.6818142397258464</v>
      </c>
      <c r="K224" s="99">
        <f t="shared" si="115"/>
        <v>7.0334886733956283</v>
      </c>
      <c r="L224" s="99">
        <f t="shared" si="115"/>
        <v>7.4036722877848726</v>
      </c>
      <c r="M224" s="99">
        <f>N224*$B224</f>
        <v>7.7933392502998666</v>
      </c>
      <c r="N224" s="48">
        <f t="shared" ref="N224:AS224" si="116">(N122*1000000000/1.609)/(N220*1000000*$N$9)</f>
        <v>8.2035150003156492</v>
      </c>
      <c r="O224" s="48">
        <f t="shared" si="116"/>
        <v>8.1420730456906885</v>
      </c>
      <c r="P224" s="48">
        <f t="shared" si="116"/>
        <v>8.1883955411986786</v>
      </c>
      <c r="Q224" s="48">
        <f t="shared" si="116"/>
        <v>7.9440160462135063</v>
      </c>
      <c r="R224" s="48">
        <f t="shared" si="116"/>
        <v>7.8087947547654109</v>
      </c>
      <c r="S224" s="48">
        <f t="shared" si="116"/>
        <v>7.7819879741313258</v>
      </c>
      <c r="T224" s="48">
        <f t="shared" si="116"/>
        <v>7.8021492494392266</v>
      </c>
      <c r="U224" s="48">
        <f t="shared" si="116"/>
        <v>7.5237424069711629</v>
      </c>
      <c r="V224" s="48">
        <f t="shared" si="116"/>
        <v>7.5357188761897529</v>
      </c>
      <c r="W224" s="48">
        <f t="shared" si="116"/>
        <v>7.337164633772236</v>
      </c>
      <c r="X224" s="48">
        <f t="shared" si="116"/>
        <v>7.7284294508728673</v>
      </c>
      <c r="Y224" s="48">
        <f t="shared" si="116"/>
        <v>7.9219715810826701</v>
      </c>
      <c r="Z224" s="48">
        <f t="shared" si="116"/>
        <v>7.5294678094361815</v>
      </c>
      <c r="AA224" s="48">
        <f t="shared" si="116"/>
        <v>7.1619310514108827</v>
      </c>
      <c r="AB224" s="48">
        <f t="shared" si="116"/>
        <v>6.8121152619670875</v>
      </c>
      <c r="AC224" s="48">
        <f t="shared" si="116"/>
        <v>6.3944413295056757</v>
      </c>
      <c r="AD224" s="48">
        <f t="shared" si="116"/>
        <v>5.8882750055149966</v>
      </c>
      <c r="AE224" s="48">
        <f t="shared" si="116"/>
        <v>6.1514066749307581</v>
      </c>
      <c r="AF224" s="48">
        <f t="shared" si="116"/>
        <v>6.002077455557985</v>
      </c>
      <c r="AG224" s="48">
        <f t="shared" si="116"/>
        <v>6.4184970970996398</v>
      </c>
      <c r="AH224" s="48">
        <f t="shared" si="116"/>
        <v>6.3448733117166363</v>
      </c>
      <c r="AI224" s="48">
        <f t="shared" si="116"/>
        <v>6.5447557260859108</v>
      </c>
      <c r="AJ224" s="48">
        <f t="shared" si="116"/>
        <v>6.3996548495863665</v>
      </c>
      <c r="AK224" s="48">
        <f t="shared" si="116"/>
        <v>6.4364784558532566</v>
      </c>
      <c r="AL224" s="48">
        <f t="shared" si="116"/>
        <v>6.3614183321398716</v>
      </c>
      <c r="AM224" s="48">
        <f t="shared" si="116"/>
        <v>6.6285440549630019</v>
      </c>
      <c r="AN224" s="48">
        <f t="shared" si="116"/>
        <v>6.6423152805203642</v>
      </c>
      <c r="AO224" s="48">
        <f t="shared" si="116"/>
        <v>6.7859676991746154</v>
      </c>
      <c r="AP224" s="48">
        <f t="shared" si="116"/>
        <v>7.0631298744430033</v>
      </c>
      <c r="AQ224" s="48">
        <f t="shared" si="116"/>
        <v>7.314288560049568</v>
      </c>
      <c r="AR224" s="48">
        <f t="shared" si="116"/>
        <v>7.4283171279764986</v>
      </c>
      <c r="AS224" s="48">
        <f t="shared" si="116"/>
        <v>7.3938246441985829</v>
      </c>
      <c r="AT224" s="48">
        <f t="shared" ref="AT224:BJ224" si="117">(AT122*1000000000/1.609)/(AT220*1000000*$N$9)</f>
        <v>7.2957083213100757</v>
      </c>
      <c r="AU224" s="48">
        <f t="shared" si="117"/>
        <v>7.2582002529063221</v>
      </c>
      <c r="AV224" s="48">
        <f t="shared" si="117"/>
        <v>7.329105405199841</v>
      </c>
      <c r="AW224" s="48">
        <f t="shared" si="117"/>
        <v>7.1650173939024064</v>
      </c>
      <c r="AX224" s="48">
        <f t="shared" si="117"/>
        <v>7.1537272386322845</v>
      </c>
      <c r="AY224" s="48">
        <f t="shared" si="117"/>
        <v>7.1686294553698184</v>
      </c>
      <c r="AZ224" s="48">
        <f t="shared" si="117"/>
        <v>7.539948966207537</v>
      </c>
      <c r="BA224" s="48">
        <f t="shared" si="117"/>
        <v>7.5062496006167603</v>
      </c>
      <c r="BB224" s="48">
        <f t="shared" si="117"/>
        <v>7.3395323217524622</v>
      </c>
      <c r="BC224" s="48">
        <f t="shared" si="117"/>
        <v>7.3492202175932198</v>
      </c>
      <c r="BD224" s="48">
        <f t="shared" si="117"/>
        <v>7.1537640132179794</v>
      </c>
      <c r="BE224" s="48">
        <f t="shared" si="117"/>
        <v>7.2187519431139497</v>
      </c>
      <c r="BF224" s="48">
        <f t="shared" si="117"/>
        <v>7.2060205209952723</v>
      </c>
      <c r="BG224" s="48">
        <f t="shared" si="117"/>
        <v>7.0959960939116886</v>
      </c>
      <c r="BH224" s="48">
        <f t="shared" si="117"/>
        <v>6.9389925077698287</v>
      </c>
      <c r="BI224" s="48">
        <f t="shared" si="117"/>
        <v>6.9413273737122063</v>
      </c>
      <c r="BJ224" s="48">
        <f t="shared" si="117"/>
        <v>7.0012398652228889</v>
      </c>
      <c r="BK224" s="33"/>
    </row>
    <row r="225" spans="1:63" s="19" customFormat="1" x14ac:dyDescent="0.25">
      <c r="A225" s="6"/>
      <c r="C225" s="19" t="s">
        <v>269</v>
      </c>
      <c r="D225" s="108">
        <f>D220/D240</f>
        <v>0.67732885678019306</v>
      </c>
      <c r="E225" s="108">
        <f t="shared" ref="E225:M225" si="118">E220/E240</f>
        <v>0.65575683690575504</v>
      </c>
      <c r="F225" s="108">
        <f t="shared" si="118"/>
        <v>0.64423735284261763</v>
      </c>
      <c r="G225" s="108">
        <f t="shared" si="118"/>
        <v>0.63681658936498386</v>
      </c>
      <c r="H225" s="108">
        <f t="shared" si="118"/>
        <v>0.67154064124436152</v>
      </c>
      <c r="I225" s="108">
        <f t="shared" si="118"/>
        <v>0.66232830515436014</v>
      </c>
      <c r="J225" s="108">
        <f t="shared" si="118"/>
        <v>0.67562513709499206</v>
      </c>
      <c r="K225" s="108">
        <f t="shared" si="118"/>
        <v>0.65821867271035628</v>
      </c>
      <c r="L225" s="108">
        <f t="shared" si="118"/>
        <v>0.66089299109418176</v>
      </c>
      <c r="M225" s="108">
        <f t="shared" si="118"/>
        <v>0.65856790575962132</v>
      </c>
      <c r="N225" s="46">
        <f>N220/N$240</f>
        <v>0.72116702696372859</v>
      </c>
      <c r="O225" s="46">
        <f t="shared" ref="O225:BJ225" si="119">O220/O$240</f>
        <v>0.72358215748980481</v>
      </c>
      <c r="P225" s="46">
        <f t="shared" si="119"/>
        <v>0.72316033029043902</v>
      </c>
      <c r="Q225" s="46">
        <f t="shared" si="119"/>
        <v>0.72896863421398395</v>
      </c>
      <c r="R225" s="46">
        <f t="shared" si="119"/>
        <v>0.73562981770216018</v>
      </c>
      <c r="S225" s="46">
        <f t="shared" si="119"/>
        <v>0.73785991264121964</v>
      </c>
      <c r="T225" s="46">
        <f t="shared" si="119"/>
        <v>0.74305185340073276</v>
      </c>
      <c r="U225" s="46">
        <f t="shared" si="119"/>
        <v>0.74207864009368707</v>
      </c>
      <c r="V225" s="46">
        <f t="shared" si="119"/>
        <v>0.74416947218011464</v>
      </c>
      <c r="W225" s="46">
        <f t="shared" si="119"/>
        <v>0.74649995581704287</v>
      </c>
      <c r="X225" s="46">
        <f t="shared" si="119"/>
        <v>0.73192913051313357</v>
      </c>
      <c r="Y225" s="46">
        <f t="shared" si="119"/>
        <v>0.72242052773792209</v>
      </c>
      <c r="Z225" s="46">
        <f t="shared" si="119"/>
        <v>0.71628554426899937</v>
      </c>
      <c r="AA225" s="46">
        <f t="shared" si="119"/>
        <v>0.71495417618770574</v>
      </c>
      <c r="AB225" s="46">
        <f t="shared" si="119"/>
        <v>0.71609310862440179</v>
      </c>
      <c r="AC225" s="46">
        <f t="shared" si="119"/>
        <v>0.72465656101380627</v>
      </c>
      <c r="AD225" s="46">
        <f t="shared" si="119"/>
        <v>0.72635483910550169</v>
      </c>
      <c r="AE225" s="46">
        <f t="shared" si="119"/>
        <v>0.71747582929416054</v>
      </c>
      <c r="AF225" s="46">
        <f t="shared" si="119"/>
        <v>0.70691488949473169</v>
      </c>
      <c r="AG225" s="46">
        <f t="shared" si="119"/>
        <v>0.65282536419335935</v>
      </c>
      <c r="AH225" s="46">
        <f t="shared" si="119"/>
        <v>0.61456056532521119</v>
      </c>
      <c r="AI225" s="46">
        <f t="shared" si="119"/>
        <v>0.5812867458731148</v>
      </c>
      <c r="AJ225" s="46">
        <f t="shared" si="119"/>
        <v>0.55560881795094219</v>
      </c>
      <c r="AK225" s="46">
        <f t="shared" si="119"/>
        <v>0.53096802268368171</v>
      </c>
      <c r="AL225" s="46">
        <f t="shared" si="119"/>
        <v>0.50040137418509556</v>
      </c>
      <c r="AM225" s="46">
        <f t="shared" si="119"/>
        <v>0.47262346691767693</v>
      </c>
      <c r="AN225" s="46">
        <f t="shared" si="119"/>
        <v>0.45524406705975518</v>
      </c>
      <c r="AO225" s="46">
        <f t="shared" si="119"/>
        <v>0.43761435155889661</v>
      </c>
      <c r="AP225" s="46">
        <f t="shared" si="119"/>
        <v>0.42823910642246615</v>
      </c>
      <c r="AQ225" s="46">
        <f t="shared" si="119"/>
        <v>0.41071891872806088</v>
      </c>
      <c r="AR225" s="46">
        <f t="shared" si="119"/>
        <v>0.40122476668317586</v>
      </c>
      <c r="AS225" s="46">
        <f t="shared" si="119"/>
        <v>0.38998438674534647</v>
      </c>
      <c r="AT225" s="46">
        <f t="shared" si="119"/>
        <v>0.37899380907659602</v>
      </c>
      <c r="AU225" s="46">
        <f t="shared" si="119"/>
        <v>0.36588870067206647</v>
      </c>
      <c r="AV225" s="46">
        <f t="shared" si="119"/>
        <v>0.35665561129664175</v>
      </c>
      <c r="AW225" s="46">
        <f t="shared" si="119"/>
        <v>0.34441627306457206</v>
      </c>
      <c r="AX225" s="46">
        <f t="shared" si="119"/>
        <v>0.33149283385199096</v>
      </c>
      <c r="AY225" s="46">
        <f t="shared" si="119"/>
        <v>0.3204824722599911</v>
      </c>
      <c r="AZ225" s="46">
        <f t="shared" si="119"/>
        <v>0.30580792752653602</v>
      </c>
      <c r="BA225" s="46">
        <f t="shared" si="119"/>
        <v>0.28645544376964738</v>
      </c>
      <c r="BB225" s="46">
        <f t="shared" si="119"/>
        <v>0.28602395463645286</v>
      </c>
      <c r="BC225" s="46">
        <f t="shared" si="119"/>
        <v>0.27538060799928665</v>
      </c>
      <c r="BD225" s="46">
        <f t="shared" si="119"/>
        <v>0.26845326430809341</v>
      </c>
      <c r="BE225" s="46">
        <f t="shared" si="119"/>
        <v>0.26466651725893842</v>
      </c>
      <c r="BF225" s="46">
        <f t="shared" si="119"/>
        <v>0.26303559613927113</v>
      </c>
      <c r="BG225" s="46">
        <f t="shared" si="119"/>
        <v>0.26548912760329313</v>
      </c>
      <c r="BH225" s="46">
        <f t="shared" si="119"/>
        <v>0.2638190771865897</v>
      </c>
      <c r="BI225" s="46">
        <f t="shared" si="119"/>
        <v>0.26426123043848387</v>
      </c>
      <c r="BJ225" s="46">
        <f t="shared" si="119"/>
        <v>0.26661368529762924</v>
      </c>
      <c r="BK225" s="33"/>
    </row>
    <row r="226" spans="1:63" x14ac:dyDescent="0.25">
      <c r="BD226" s="48"/>
      <c r="BE226" s="48"/>
      <c r="BF226" s="48"/>
      <c r="BG226" s="48"/>
      <c r="BH226" s="48"/>
      <c r="BI226" s="48"/>
      <c r="BJ226" s="48"/>
    </row>
    <row r="227" spans="1:63" x14ac:dyDescent="0.25">
      <c r="A227" s="14" t="s">
        <v>177</v>
      </c>
      <c r="C227" s="6" t="s">
        <v>291</v>
      </c>
      <c r="D227" s="95">
        <f t="shared" ref="D227:M227" si="120">$N227*D123/$N123*D229/$N229</f>
        <v>0.48125256524136528</v>
      </c>
      <c r="E227" s="95">
        <f t="shared" si="120"/>
        <v>0.46799676691245662</v>
      </c>
      <c r="F227" s="95">
        <f t="shared" si="120"/>
        <v>0.42324866480351919</v>
      </c>
      <c r="G227" s="95">
        <f t="shared" si="120"/>
        <v>0.37017742435118134</v>
      </c>
      <c r="H227" s="95">
        <f t="shared" si="120"/>
        <v>0.37198049140072897</v>
      </c>
      <c r="I227" s="95">
        <f t="shared" si="120"/>
        <v>0.33402719821767091</v>
      </c>
      <c r="J227" s="95">
        <f t="shared" si="120"/>
        <v>0.2956953526390162</v>
      </c>
      <c r="K227" s="95">
        <f t="shared" si="120"/>
        <v>0.25698216738179414</v>
      </c>
      <c r="L227" s="95">
        <f t="shared" si="120"/>
        <v>0.23402445454636409</v>
      </c>
      <c r="M227" s="95">
        <f t="shared" si="120"/>
        <v>0.21083699913653484</v>
      </c>
      <c r="N227" s="93">
        <v>0.20371533451343421</v>
      </c>
      <c r="O227" s="93">
        <v>0.19700621668503765</v>
      </c>
      <c r="P227" s="93">
        <v>0.183542170333166</v>
      </c>
      <c r="Q227" s="93">
        <v>0.19526892966783316</v>
      </c>
      <c r="R227" s="93">
        <v>0.21004227428874533</v>
      </c>
      <c r="S227" s="93">
        <v>0.24343938748407712</v>
      </c>
      <c r="T227" s="93">
        <v>0.30474292373500711</v>
      </c>
      <c r="U227" s="93">
        <v>0.30061071951723328</v>
      </c>
      <c r="V227" s="93">
        <v>0.30293297011823528</v>
      </c>
      <c r="W227" s="93">
        <v>0.32268903754231398</v>
      </c>
      <c r="X227" s="93">
        <v>0.37258263115460521</v>
      </c>
      <c r="Y227" s="93">
        <v>0.41261765703687664</v>
      </c>
      <c r="Z227" s="93">
        <v>0.42856046493323202</v>
      </c>
      <c r="AA227" s="93">
        <v>0.38775500298872123</v>
      </c>
      <c r="AB227" s="93">
        <v>0.37418397902078404</v>
      </c>
      <c r="AC227" s="93">
        <v>0.33433724631419554</v>
      </c>
      <c r="AD227" s="93">
        <v>0.32047663132016857</v>
      </c>
      <c r="AE227" s="93">
        <v>0.29422571247039037</v>
      </c>
      <c r="AF227" s="93">
        <v>0.2598068110944538</v>
      </c>
      <c r="AG227" s="93">
        <v>0.24097664990987702</v>
      </c>
      <c r="AH227" s="93">
        <v>0.23651343017304446</v>
      </c>
      <c r="AI227" s="93">
        <v>0.22879602755562473</v>
      </c>
      <c r="AJ227" s="93">
        <v>0.19512041851076095</v>
      </c>
      <c r="AK227" s="93">
        <v>0.16522952061439491</v>
      </c>
      <c r="AL227" s="93">
        <v>0.16121917754443646</v>
      </c>
      <c r="AM227" s="93">
        <v>0.1576532470024721</v>
      </c>
      <c r="AN227" s="93">
        <v>0.16380916052556463</v>
      </c>
      <c r="AO227" s="93">
        <v>0.1756122685563461</v>
      </c>
      <c r="AP227" s="93">
        <v>0.18055756515281296</v>
      </c>
      <c r="AQ227" s="93">
        <v>0.20000798384598845</v>
      </c>
      <c r="AR227" s="93">
        <v>0.19972636037911398</v>
      </c>
      <c r="AS227" s="93">
        <v>0.20441122955083277</v>
      </c>
      <c r="AT227" s="93">
        <v>0.2133220845592646</v>
      </c>
      <c r="AU227" s="93">
        <v>0.23232077768305892</v>
      </c>
      <c r="AV227" s="93">
        <v>0.21248589689331851</v>
      </c>
      <c r="AW227" s="93">
        <v>0.22229816753563159</v>
      </c>
      <c r="AX227" s="93">
        <v>0.20699644321525101</v>
      </c>
      <c r="AY227" s="93">
        <v>0.22074146094446251</v>
      </c>
      <c r="AZ227" s="93">
        <v>0.20210030729643652</v>
      </c>
      <c r="BA227" s="93">
        <v>0.19654742342602549</v>
      </c>
      <c r="BB227" s="93">
        <v>0.17342486358419118</v>
      </c>
      <c r="BC227" s="94">
        <v>0.17206251300141828</v>
      </c>
      <c r="BD227" s="48">
        <v>0.16674210484928542</v>
      </c>
      <c r="BE227" s="48">
        <v>0.15805949955114823</v>
      </c>
      <c r="BF227" s="48">
        <v>0.16247759940385742</v>
      </c>
      <c r="BG227" s="48">
        <v>0.16408026412782439</v>
      </c>
      <c r="BH227" s="48">
        <v>0.16556637457495221</v>
      </c>
      <c r="BI227" s="48">
        <v>0.16634753335368779</v>
      </c>
      <c r="BJ227" s="95">
        <v>0.16250380233639511</v>
      </c>
      <c r="BK227" s="105">
        <f t="array" ref="BK227">TREND(AZ227:BJ227,AZ183:BJ183,BK183)</f>
        <v>0.15203275930175408</v>
      </c>
    </row>
    <row r="228" spans="1:63" s="19" customFormat="1" x14ac:dyDescent="0.25">
      <c r="A228" s="6"/>
      <c r="C228" s="19" t="s">
        <v>292</v>
      </c>
      <c r="D228" s="106"/>
      <c r="E228" s="106"/>
      <c r="F228" s="106"/>
      <c r="G228" s="106"/>
      <c r="H228" s="106"/>
      <c r="I228" s="106"/>
      <c r="J228" s="106"/>
      <c r="K228" s="106"/>
      <c r="L228" s="106"/>
      <c r="M228" s="106"/>
      <c r="N228" s="97">
        <f t="shared" ref="N228:AS228" si="121">N131/N227</f>
        <v>19.745690767990428</v>
      </c>
      <c r="O228" s="97">
        <f t="shared" si="121"/>
        <v>19.601411899471714</v>
      </c>
      <c r="P228" s="97">
        <f t="shared" si="121"/>
        <v>20.162668847614061</v>
      </c>
      <c r="Q228" s="97">
        <f t="shared" si="121"/>
        <v>19.775803588255776</v>
      </c>
      <c r="R228" s="97">
        <f t="shared" si="121"/>
        <v>19.916942978102949</v>
      </c>
      <c r="S228" s="97">
        <f t="shared" si="121"/>
        <v>21.150233958491096</v>
      </c>
      <c r="T228" s="97">
        <f t="shared" si="121"/>
        <v>20.591454341550484</v>
      </c>
      <c r="U228" s="97">
        <f t="shared" si="121"/>
        <v>20.874505107727085</v>
      </c>
      <c r="V228" s="97">
        <f t="shared" si="121"/>
        <v>20.183342861668759</v>
      </c>
      <c r="W228" s="97">
        <f t="shared" si="121"/>
        <v>19.944898187488167</v>
      </c>
      <c r="X228" s="97">
        <f t="shared" si="121"/>
        <v>20.728824572595858</v>
      </c>
      <c r="Y228" s="97">
        <f t="shared" si="121"/>
        <v>21.447215961504764</v>
      </c>
      <c r="Z228" s="97">
        <f t="shared" si="121"/>
        <v>21.400247457331027</v>
      </c>
      <c r="AA228" s="97">
        <f t="shared" si="121"/>
        <v>21.577542354091477</v>
      </c>
      <c r="AB228" s="97">
        <f t="shared" si="121"/>
        <v>21.500118794645509</v>
      </c>
      <c r="AC228" s="97">
        <f t="shared" si="121"/>
        <v>22.137527546196534</v>
      </c>
      <c r="AD228" s="97">
        <f t="shared" si="121"/>
        <v>22.090846283663051</v>
      </c>
      <c r="AE228" s="97">
        <f t="shared" si="121"/>
        <v>22.968081012566422</v>
      </c>
      <c r="AF228" s="97">
        <f t="shared" si="121"/>
        <v>22.914333827205379</v>
      </c>
      <c r="AG228" s="97">
        <f t="shared" si="121"/>
        <v>24.704883241701957</v>
      </c>
      <c r="AH228" s="97">
        <f t="shared" si="121"/>
        <v>23.810487192544318</v>
      </c>
      <c r="AI228" s="97">
        <f t="shared" si="121"/>
        <v>23.910380168947608</v>
      </c>
      <c r="AJ228" s="97">
        <f t="shared" si="121"/>
        <v>23.089331369753783</v>
      </c>
      <c r="AK228" s="97">
        <f t="shared" si="121"/>
        <v>22.397329401182031</v>
      </c>
      <c r="AL228" s="97">
        <f t="shared" si="121"/>
        <v>22.954465196796981</v>
      </c>
      <c r="AM228" s="97">
        <f t="shared" si="121"/>
        <v>23.473668131567063</v>
      </c>
      <c r="AN228" s="97">
        <f t="shared" si="121"/>
        <v>22.591532659875</v>
      </c>
      <c r="AO228" s="97">
        <f t="shared" si="121"/>
        <v>22.905575066410353</v>
      </c>
      <c r="AP228" s="97">
        <f t="shared" si="121"/>
        <v>23.169342123435392</v>
      </c>
      <c r="AQ228" s="97">
        <f t="shared" si="121"/>
        <v>22.525100815321078</v>
      </c>
      <c r="AR228" s="97">
        <f t="shared" si="121"/>
        <v>22.556862256180793</v>
      </c>
      <c r="AS228" s="97">
        <f t="shared" si="121"/>
        <v>23.614162541885335</v>
      </c>
      <c r="AT228" s="97">
        <f t="shared" ref="AT228:BJ228" si="122">AT131/AT227</f>
        <v>23.382014151536541</v>
      </c>
      <c r="AU228" s="97">
        <f t="shared" si="122"/>
        <v>23.547614012652826</v>
      </c>
      <c r="AV228" s="97">
        <f t="shared" si="122"/>
        <v>24.231255228129456</v>
      </c>
      <c r="AW228" s="97">
        <f t="shared" si="122"/>
        <v>23.88548704140317</v>
      </c>
      <c r="AX228" s="97">
        <f t="shared" si="122"/>
        <v>24.873857347615765</v>
      </c>
      <c r="AY228" s="97">
        <f t="shared" si="122"/>
        <v>24.782838604916076</v>
      </c>
      <c r="AZ228" s="97">
        <f t="shared" si="122"/>
        <v>24.680318732439392</v>
      </c>
      <c r="BA228" s="97">
        <f t="shared" si="122"/>
        <v>26.196222317500148</v>
      </c>
      <c r="BB228" s="97">
        <f t="shared" si="122"/>
        <v>26.905599944351611</v>
      </c>
      <c r="BC228" s="97">
        <f t="shared" si="122"/>
        <v>27.118632168074509</v>
      </c>
      <c r="BD228" s="97">
        <f t="shared" si="122"/>
        <v>27.983933657414166</v>
      </c>
      <c r="BE228" s="97">
        <f t="shared" si="122"/>
        <v>28.503190335245314</v>
      </c>
      <c r="BF228" s="97">
        <f t="shared" si="122"/>
        <v>28.71842036760928</v>
      </c>
      <c r="BG228" s="97">
        <f t="shared" si="122"/>
        <v>28.437911316165003</v>
      </c>
      <c r="BH228" s="97">
        <f t="shared" si="122"/>
        <v>29.154470600640035</v>
      </c>
      <c r="BI228" s="97">
        <f t="shared" si="122"/>
        <v>29.017562825754933</v>
      </c>
      <c r="BJ228" s="97">
        <f t="shared" si="122"/>
        <v>29.703920342785249</v>
      </c>
      <c r="BK228" s="33"/>
    </row>
    <row r="229" spans="1:63" s="19" customFormat="1" x14ac:dyDescent="0.25">
      <c r="A229" s="6"/>
      <c r="B229" s="98">
        <f>(N229/X229)^(1/10)</f>
        <v>0.9951527913661331</v>
      </c>
      <c r="C229" s="19" t="s">
        <v>293</v>
      </c>
      <c r="D229" s="99">
        <f t="shared" ref="D229:L229" si="123">E229*$B229</f>
        <v>44.228438533082766</v>
      </c>
      <c r="E229" s="99">
        <f t="shared" si="123"/>
        <v>44.443867230042663</v>
      </c>
      <c r="F229" s="99">
        <f t="shared" si="123"/>
        <v>44.660345241086738</v>
      </c>
      <c r="G229" s="99">
        <f t="shared" si="123"/>
        <v>44.877877677233442</v>
      </c>
      <c r="H229" s="99">
        <f t="shared" si="123"/>
        <v>45.09646967439609</v>
      </c>
      <c r="I229" s="99">
        <f t="shared" si="123"/>
        <v>45.316126393504085</v>
      </c>
      <c r="J229" s="99">
        <f t="shared" si="123"/>
        <v>45.536853020624783</v>
      </c>
      <c r="K229" s="99">
        <f t="shared" si="123"/>
        <v>45.758654767085936</v>
      </c>
      <c r="L229" s="99">
        <f t="shared" si="123"/>
        <v>45.981536869598727</v>
      </c>
      <c r="M229" s="99">
        <f>N229*$B229</f>
        <v>46.205504590381402</v>
      </c>
      <c r="N229" s="48">
        <f t="shared" ref="N229:AS229" si="124">(N131*1000000000/1.609)/(N227*1000000*$N$5)</f>
        <v>46.43056321728352</v>
      </c>
      <c r="O229" s="48">
        <f t="shared" si="124"/>
        <v>46.091301896705353</v>
      </c>
      <c r="P229" s="48">
        <f t="shared" si="124"/>
        <v>47.411057002670447</v>
      </c>
      <c r="Q229" s="48">
        <f t="shared" si="124"/>
        <v>46.501371335439977</v>
      </c>
      <c r="R229" s="48">
        <f t="shared" si="124"/>
        <v>46.833250399066934</v>
      </c>
      <c r="S229" s="48">
        <f t="shared" si="124"/>
        <v>49.733244909415745</v>
      </c>
      <c r="T229" s="48">
        <f t="shared" si="124"/>
        <v>48.419315068533749</v>
      </c>
      <c r="U229" s="48">
        <f t="shared" si="124"/>
        <v>49.084888466146566</v>
      </c>
      <c r="V229" s="48">
        <f t="shared" si="124"/>
        <v>47.459670450931142</v>
      </c>
      <c r="W229" s="48">
        <f t="shared" si="124"/>
        <v>46.898985051344432</v>
      </c>
      <c r="X229" s="48">
        <f t="shared" si="124"/>
        <v>48.742331227941293</v>
      </c>
      <c r="Y229" s="48">
        <f t="shared" si="124"/>
        <v>50.43157660250975</v>
      </c>
      <c r="Z229" s="48">
        <f t="shared" si="124"/>
        <v>50.32113356317101</v>
      </c>
      <c r="AA229" s="48">
        <f t="shared" si="124"/>
        <v>50.738029685411639</v>
      </c>
      <c r="AB229" s="48">
        <f t="shared" si="124"/>
        <v>50.555973787058839</v>
      </c>
      <c r="AC229" s="48">
        <f t="shared" si="124"/>
        <v>52.054794349068061</v>
      </c>
      <c r="AD229" s="48">
        <f t="shared" si="124"/>
        <v>51.945026737664101</v>
      </c>
      <c r="AE229" s="48">
        <f t="shared" si="124"/>
        <v>54.007780733729518</v>
      </c>
      <c r="AF229" s="48">
        <f t="shared" si="124"/>
        <v>53.881398116024286</v>
      </c>
      <c r="AG229" s="48">
        <f t="shared" si="124"/>
        <v>58.091745515884554</v>
      </c>
      <c r="AH229" s="48">
        <f t="shared" si="124"/>
        <v>55.988637916882638</v>
      </c>
      <c r="AI229" s="48">
        <f t="shared" si="124"/>
        <v>56.22352902352219</v>
      </c>
      <c r="AJ229" s="48">
        <f t="shared" si="124"/>
        <v>54.292892176051524</v>
      </c>
      <c r="AK229" s="48">
        <f t="shared" si="124"/>
        <v>52.665699614100689</v>
      </c>
      <c r="AL229" s="48">
        <f t="shared" si="124"/>
        <v>53.975764128067759</v>
      </c>
      <c r="AM229" s="48">
        <f t="shared" si="124"/>
        <v>55.196632264244641</v>
      </c>
      <c r="AN229" s="48">
        <f t="shared" si="124"/>
        <v>53.122354526086028</v>
      </c>
      <c r="AO229" s="48">
        <f t="shared" si="124"/>
        <v>53.860802523721283</v>
      </c>
      <c r="AP229" s="48">
        <f t="shared" si="124"/>
        <v>54.48103167446294</v>
      </c>
      <c r="AQ229" s="48">
        <f t="shared" si="124"/>
        <v>52.966144850038546</v>
      </c>
      <c r="AR229" s="48">
        <f t="shared" si="124"/>
        <v>53.040829580243049</v>
      </c>
      <c r="AS229" s="48">
        <f t="shared" si="124"/>
        <v>55.526994705174396</v>
      </c>
      <c r="AT229" s="48">
        <f t="shared" ref="AT229:BJ229" si="125">(AT131*1000000000/1.609)/(AT227*1000000*$N$5)</f>
        <v>54.981114561474712</v>
      </c>
      <c r="AU229" s="48">
        <f t="shared" si="125"/>
        <v>55.370510653547484</v>
      </c>
      <c r="AV229" s="48">
        <f t="shared" si="125"/>
        <v>56.978043509505341</v>
      </c>
      <c r="AW229" s="48">
        <f t="shared" si="125"/>
        <v>56.164994635148112</v>
      </c>
      <c r="AX229" s="48">
        <f t="shared" si="125"/>
        <v>58.489075900468166</v>
      </c>
      <c r="AY229" s="48">
        <f t="shared" si="125"/>
        <v>58.275051912321537</v>
      </c>
      <c r="AZ229" s="48">
        <f t="shared" si="125"/>
        <v>58.033983849624384</v>
      </c>
      <c r="BA229" s="48">
        <f t="shared" si="125"/>
        <v>61.598521452510866</v>
      </c>
      <c r="BB229" s="48">
        <f t="shared" si="125"/>
        <v>63.266571617757386</v>
      </c>
      <c r="BC229" s="48">
        <f t="shared" si="125"/>
        <v>63.767501478713122</v>
      </c>
      <c r="BD229" s="48">
        <f t="shared" si="125"/>
        <v>65.802195325328213</v>
      </c>
      <c r="BE229" s="48">
        <f t="shared" si="125"/>
        <v>67.023189834424812</v>
      </c>
      <c r="BF229" s="48">
        <f t="shared" si="125"/>
        <v>67.529287683386016</v>
      </c>
      <c r="BG229" s="48">
        <f t="shared" si="125"/>
        <v>66.869690944070271</v>
      </c>
      <c r="BH229" s="48">
        <f t="shared" si="125"/>
        <v>68.554628257617367</v>
      </c>
      <c r="BI229" s="48">
        <f t="shared" si="125"/>
        <v>68.23269953041148</v>
      </c>
      <c r="BJ229" s="48">
        <f t="shared" si="125"/>
        <v>69.846619572945244</v>
      </c>
      <c r="BK229" s="33"/>
    </row>
    <row r="230" spans="1:63" s="19" customFormat="1" x14ac:dyDescent="0.25">
      <c r="A230" s="6"/>
      <c r="C230" s="19" t="s">
        <v>268</v>
      </c>
      <c r="D230" s="108">
        <f>D227/D239</f>
        <v>5.9111102147046922E-2</v>
      </c>
      <c r="E230" s="108">
        <f t="shared" ref="E230:M230" si="126">E227/E239</f>
        <v>5.3828140846266644E-2</v>
      </c>
      <c r="F230" s="108">
        <f t="shared" si="126"/>
        <v>4.6276034635194911E-2</v>
      </c>
      <c r="G230" s="108">
        <f t="shared" si="126"/>
        <v>3.8332858477181583E-2</v>
      </c>
      <c r="H230" s="108">
        <f t="shared" si="126"/>
        <v>3.4797124128854988E-2</v>
      </c>
      <c r="I230" s="108">
        <f t="shared" si="126"/>
        <v>2.9130425413273524E-2</v>
      </c>
      <c r="J230" s="108">
        <f t="shared" si="126"/>
        <v>2.4458238009693139E-2</v>
      </c>
      <c r="K230" s="108">
        <f t="shared" si="126"/>
        <v>1.9916126934346166E-2</v>
      </c>
      <c r="L230" s="108">
        <f t="shared" si="126"/>
        <v>1.711249599718127E-2</v>
      </c>
      <c r="M230" s="108">
        <f t="shared" si="126"/>
        <v>1.4922715184102514E-2</v>
      </c>
      <c r="N230" s="46">
        <f>N227/N$239</f>
        <v>1.4540494437851884E-2</v>
      </c>
      <c r="O230" s="46">
        <f t="shared" ref="O230:BJ230" si="127">O227/O$239</f>
        <v>1.3366381827831291E-2</v>
      </c>
      <c r="P230" s="46">
        <f t="shared" si="127"/>
        <v>1.1713105407023354E-2</v>
      </c>
      <c r="Q230" s="46">
        <f t="shared" si="127"/>
        <v>1.1703791408804736E-2</v>
      </c>
      <c r="R230" s="46">
        <f t="shared" si="127"/>
        <v>1.2931954815903127E-2</v>
      </c>
      <c r="S230" s="46">
        <f t="shared" si="127"/>
        <v>1.5318407806705568E-2</v>
      </c>
      <c r="T230" s="46">
        <f t="shared" si="127"/>
        <v>1.8311067300738958E-2</v>
      </c>
      <c r="U230" s="46">
        <f t="shared" si="127"/>
        <v>1.7583863710755161E-2</v>
      </c>
      <c r="V230" s="46">
        <f t="shared" si="127"/>
        <v>1.6731381270488642E-2</v>
      </c>
      <c r="W230" s="46">
        <f t="shared" si="127"/>
        <v>1.7497443712126106E-2</v>
      </c>
      <c r="X230" s="46">
        <f t="shared" si="127"/>
        <v>1.9699777236537108E-2</v>
      </c>
      <c r="Y230" s="46">
        <f t="shared" si="127"/>
        <v>2.2312776920056697E-2</v>
      </c>
      <c r="Z230" s="46">
        <f t="shared" si="127"/>
        <v>2.2532227453913905E-2</v>
      </c>
      <c r="AA230" s="46">
        <f t="shared" si="127"/>
        <v>2.0055227295953701E-2</v>
      </c>
      <c r="AB230" s="46">
        <f t="shared" si="127"/>
        <v>1.8720728601566514E-2</v>
      </c>
      <c r="AC230" s="46">
        <f t="shared" si="127"/>
        <v>1.6585034171572217E-2</v>
      </c>
      <c r="AD230" s="46">
        <f t="shared" si="127"/>
        <v>1.5101072781071444E-2</v>
      </c>
      <c r="AE230" s="46">
        <f t="shared" si="127"/>
        <v>1.3418005373636984E-2</v>
      </c>
      <c r="AF230" s="46">
        <f t="shared" si="127"/>
        <v>1.1305614934388196E-2</v>
      </c>
      <c r="AG230" s="46">
        <f t="shared" si="127"/>
        <v>1.0190456781626315E-2</v>
      </c>
      <c r="AH230" s="46">
        <f t="shared" si="127"/>
        <v>9.8410633098808681E-3</v>
      </c>
      <c r="AI230" s="46">
        <f t="shared" si="127"/>
        <v>9.6342957274321815E-3</v>
      </c>
      <c r="AJ230" s="46">
        <f t="shared" si="127"/>
        <v>8.2094086002820615E-3</v>
      </c>
      <c r="AK230" s="46">
        <f t="shared" si="127"/>
        <v>7.0357342470112137E-3</v>
      </c>
      <c r="AL230" s="46">
        <f t="shared" si="127"/>
        <v>7.1492027315629963E-3</v>
      </c>
      <c r="AM230" s="46">
        <f t="shared" si="127"/>
        <v>7.2803226610223719E-3</v>
      </c>
      <c r="AN230" s="46">
        <f t="shared" si="127"/>
        <v>7.4096485904656569E-3</v>
      </c>
      <c r="AO230" s="46">
        <f t="shared" si="127"/>
        <v>8.0017736074022398E-3</v>
      </c>
      <c r="AP230" s="46">
        <f t="shared" si="127"/>
        <v>8.3821383739626412E-3</v>
      </c>
      <c r="AQ230" s="46">
        <f t="shared" si="127"/>
        <v>9.3128466165864621E-3</v>
      </c>
      <c r="AR230" s="46">
        <f t="shared" si="127"/>
        <v>9.4705027702437373E-3</v>
      </c>
      <c r="AS230" s="46">
        <f t="shared" si="127"/>
        <v>9.9118027890171476E-3</v>
      </c>
      <c r="AT230" s="46">
        <f t="shared" si="127"/>
        <v>1.0412764828072726E-2</v>
      </c>
      <c r="AU230" s="46">
        <f t="shared" si="127"/>
        <v>1.1858031205587545E-2</v>
      </c>
      <c r="AV230" s="46">
        <f t="shared" si="127"/>
        <v>1.1103082322471725E-2</v>
      </c>
      <c r="AW230" s="46">
        <f t="shared" si="127"/>
        <v>1.2012733109810712E-2</v>
      </c>
      <c r="AX230" s="46">
        <f t="shared" si="127"/>
        <v>1.167171722270881E-2</v>
      </c>
      <c r="AY230" s="46">
        <f t="shared" si="127"/>
        <v>1.2798379778931701E-2</v>
      </c>
      <c r="AZ230" s="46">
        <f t="shared" si="127"/>
        <v>1.2490936838077076E-2</v>
      </c>
      <c r="BA230" s="46">
        <f t="shared" si="127"/>
        <v>1.2874135670446509E-2</v>
      </c>
      <c r="BB230" s="46">
        <f t="shared" si="127"/>
        <v>1.2182225859935659E-2</v>
      </c>
      <c r="BC230" s="46">
        <f t="shared" si="127"/>
        <v>1.2722022286882717E-2</v>
      </c>
      <c r="BD230" s="46">
        <f t="shared" si="127"/>
        <v>1.295051178262319E-2</v>
      </c>
      <c r="BE230" s="46">
        <f t="shared" si="127"/>
        <v>1.2940104971456427E-2</v>
      </c>
      <c r="BF230" s="46">
        <f t="shared" si="127"/>
        <v>1.3600777361050757E-2</v>
      </c>
      <c r="BG230" s="46">
        <f t="shared" si="127"/>
        <v>1.404351274525077E-2</v>
      </c>
      <c r="BH230" s="46">
        <f t="shared" si="127"/>
        <v>1.4355734571992032E-2</v>
      </c>
      <c r="BI230" s="46">
        <f t="shared" si="127"/>
        <v>1.4645837514514412E-2</v>
      </c>
      <c r="BJ230" s="46">
        <f t="shared" si="127"/>
        <v>1.4580228746185541E-2</v>
      </c>
      <c r="BK230" s="33"/>
    </row>
    <row r="231" spans="1:63" s="19" customFormat="1" x14ac:dyDescent="0.25">
      <c r="A231" s="6"/>
      <c r="D231" s="108"/>
      <c r="E231" s="108"/>
      <c r="F231" s="108"/>
      <c r="G231" s="108"/>
      <c r="H231" s="108"/>
      <c r="I231" s="108"/>
      <c r="J231" s="108"/>
      <c r="K231" s="108"/>
      <c r="L231" s="108"/>
      <c r="M231" s="108"/>
      <c r="N231" s="109"/>
      <c r="O231" s="109"/>
      <c r="P231" s="109"/>
      <c r="Q231" s="109"/>
      <c r="R231" s="46"/>
      <c r="S231" s="46"/>
      <c r="T231" s="46"/>
      <c r="U231" s="46"/>
      <c r="V231" s="46"/>
      <c r="W231" s="46"/>
      <c r="X231" s="46"/>
      <c r="Y231" s="46"/>
      <c r="Z231" s="46"/>
      <c r="AA231" s="46"/>
      <c r="AB231" s="46"/>
      <c r="AC231" s="46"/>
      <c r="AD231" s="46"/>
      <c r="AE231" s="46"/>
      <c r="AF231" s="46"/>
      <c r="AG231" s="46"/>
      <c r="AH231" s="46"/>
      <c r="AI231" s="46"/>
      <c r="AJ231" s="46"/>
      <c r="AK231" s="46"/>
      <c r="AL231" s="46"/>
      <c r="AM231" s="46"/>
      <c r="AN231" s="46"/>
      <c r="AO231" s="46"/>
      <c r="AP231" s="46"/>
      <c r="AQ231" s="46"/>
      <c r="AR231" s="46"/>
      <c r="AS231" s="46"/>
      <c r="AT231" s="46"/>
      <c r="AU231" s="46"/>
      <c r="AV231" s="46"/>
      <c r="AW231" s="46"/>
      <c r="AX231" s="46"/>
      <c r="AY231" s="46"/>
      <c r="AZ231" s="46"/>
      <c r="BA231" s="46"/>
      <c r="BB231" s="46"/>
      <c r="BC231" s="46"/>
      <c r="BD231" s="46"/>
      <c r="BE231" s="46"/>
      <c r="BF231" s="46"/>
      <c r="BG231" s="46"/>
      <c r="BH231" s="46"/>
      <c r="BI231" s="46"/>
      <c r="BJ231" s="46"/>
      <c r="BK231" s="33"/>
    </row>
    <row r="232" spans="1:63" x14ac:dyDescent="0.25">
      <c r="BD232" s="48"/>
      <c r="BE232" s="48"/>
      <c r="BF232" s="48"/>
      <c r="BG232" s="48"/>
      <c r="BH232" s="48"/>
      <c r="BI232" s="48"/>
      <c r="BJ232" s="48"/>
    </row>
    <row r="233" spans="1:63" x14ac:dyDescent="0.25">
      <c r="A233" s="14" t="s">
        <v>177</v>
      </c>
      <c r="C233" s="6" t="s">
        <v>294</v>
      </c>
      <c r="D233" s="95">
        <f t="shared" ref="D233:M233" si="128">$N233*D132/$N132*D235/$N235</f>
        <v>0.70887227347055137</v>
      </c>
      <c r="E233" s="95">
        <f t="shared" si="128"/>
        <v>0.76917564395676152</v>
      </c>
      <c r="F233" s="95">
        <f t="shared" si="128"/>
        <v>0.80122462912162662</v>
      </c>
      <c r="G233" s="95">
        <f t="shared" si="128"/>
        <v>0.8346089886683612</v>
      </c>
      <c r="H233" s="95">
        <f t="shared" si="128"/>
        <v>0.8693843631962096</v>
      </c>
      <c r="I233" s="95">
        <f t="shared" si="128"/>
        <v>0.86938436319620938</v>
      </c>
      <c r="J233" s="95">
        <f t="shared" si="128"/>
        <v>0.90560871166271806</v>
      </c>
      <c r="K233" s="95">
        <f t="shared" si="128"/>
        <v>0.9433424079819982</v>
      </c>
      <c r="L233" s="95">
        <f t="shared" si="128"/>
        <v>0.9826483416479147</v>
      </c>
      <c r="M233" s="95">
        <f t="shared" si="128"/>
        <v>1.0235920225499111</v>
      </c>
      <c r="N233" s="93">
        <v>0.97738821597647796</v>
      </c>
      <c r="O233" s="93">
        <v>0.97957376438854193</v>
      </c>
      <c r="P233" s="93">
        <v>0.9707709582298264</v>
      </c>
      <c r="Q233" s="93">
        <v>1.0011559430591548</v>
      </c>
      <c r="R233" s="93">
        <v>0.92165243083941861</v>
      </c>
      <c r="S233" s="93">
        <v>0.89810619822481674</v>
      </c>
      <c r="T233" s="93">
        <v>0.91224268533715513</v>
      </c>
      <c r="U233" s="93">
        <v>0.91179843212812528</v>
      </c>
      <c r="V233" s="93">
        <v>0.92306017836270438</v>
      </c>
      <c r="W233" s="93">
        <v>0.94371932043592288</v>
      </c>
      <c r="X233" s="93">
        <v>0.97153208570266159</v>
      </c>
      <c r="Y233" s="93">
        <v>0.94275705680007527</v>
      </c>
      <c r="Z233" s="93">
        <v>0.99176698862108859</v>
      </c>
      <c r="AA233" s="93">
        <v>1.0975293337119705</v>
      </c>
      <c r="AB233" s="93">
        <v>1.1922932908789028</v>
      </c>
      <c r="AC233" s="93">
        <v>1.1804107835667512</v>
      </c>
      <c r="AD233" s="93">
        <v>1.281563549247529</v>
      </c>
      <c r="AE233" s="93">
        <v>1.3675047314017419</v>
      </c>
      <c r="AF233" s="93">
        <v>1.471749100779659</v>
      </c>
      <c r="AG233" s="93">
        <v>1.6137400268599218</v>
      </c>
      <c r="AH233" s="93">
        <v>1.6419591775132569</v>
      </c>
      <c r="AI233" s="93">
        <v>1.6838030016810448</v>
      </c>
      <c r="AJ233" s="93">
        <v>1.6626739533136359</v>
      </c>
      <c r="AK233" s="93">
        <v>1.6595940943076162</v>
      </c>
      <c r="AL233" s="93">
        <v>1.6815976330414499</v>
      </c>
      <c r="AM233" s="93">
        <v>1.7057526652184061</v>
      </c>
      <c r="AN233" s="93">
        <v>1.7272290134156811</v>
      </c>
      <c r="AO233" s="93">
        <v>1.7281480191349716</v>
      </c>
      <c r="AP233" s="93">
        <v>1.6832656222221059</v>
      </c>
      <c r="AQ233" s="93">
        <v>1.6308548326551744</v>
      </c>
      <c r="AR233" s="93">
        <v>1.5306668814916273</v>
      </c>
      <c r="AS233" s="93">
        <v>1.4938990075453698</v>
      </c>
      <c r="AT233" s="93">
        <v>1.4891752654979771</v>
      </c>
      <c r="AU233" s="93">
        <v>1.5285094074887069</v>
      </c>
      <c r="AV233" s="93">
        <v>1.4612216522284129</v>
      </c>
      <c r="AW233" s="93">
        <v>1.4567083660349942</v>
      </c>
      <c r="AX233" s="93">
        <v>1.4767424946105412</v>
      </c>
      <c r="AY233" s="93">
        <v>1.5023657646432329</v>
      </c>
      <c r="AZ233" s="93">
        <v>1.3310219238176337</v>
      </c>
      <c r="BA233" s="93">
        <v>1.326672901416178</v>
      </c>
      <c r="BB233" s="93">
        <v>1.356808772258784</v>
      </c>
      <c r="BC233" s="94">
        <v>1.2481093388572564</v>
      </c>
      <c r="BD233" s="48">
        <v>1.1933868025704466</v>
      </c>
      <c r="BE233" s="48">
        <v>1.2091302008950202</v>
      </c>
      <c r="BF233" s="48">
        <v>1.2031801385705025</v>
      </c>
      <c r="BG233" s="48">
        <v>1.1628905240157792</v>
      </c>
      <c r="BH233" s="48">
        <v>1.1035610214496423</v>
      </c>
      <c r="BI233" s="48">
        <v>1.0516623158886553</v>
      </c>
      <c r="BJ233" s="95">
        <v>0.99168563432712054</v>
      </c>
      <c r="BK233" s="105">
        <f t="array" ref="BK233">TREND(AZ233:BJ233,AZ183:BJ183,BK183)</f>
        <v>0.9952584338784618</v>
      </c>
    </row>
    <row r="234" spans="1:63" s="19" customFormat="1" x14ac:dyDescent="0.25">
      <c r="A234" s="6"/>
      <c r="C234" s="19" t="s">
        <v>295</v>
      </c>
      <c r="D234" s="106"/>
      <c r="E234" s="106"/>
      <c r="F234" s="106"/>
      <c r="G234" s="106"/>
      <c r="H234" s="106"/>
      <c r="I234" s="106"/>
      <c r="J234" s="106"/>
      <c r="K234" s="106"/>
      <c r="L234" s="106"/>
      <c r="M234" s="106"/>
      <c r="N234" s="97">
        <f t="shared" ref="N234:AS234" si="129">N132/N233</f>
        <v>3.6216929385254524</v>
      </c>
      <c r="O234" s="97">
        <f t="shared" si="129"/>
        <v>3.6136125003404644</v>
      </c>
      <c r="P234" s="97">
        <f t="shared" si="129"/>
        <v>3.6463801991509159</v>
      </c>
      <c r="Q234" s="97">
        <f t="shared" si="129"/>
        <v>3.5357129171942057</v>
      </c>
      <c r="R234" s="97">
        <f t="shared" si="129"/>
        <v>3.6661325755117691</v>
      </c>
      <c r="S234" s="97">
        <f t="shared" si="129"/>
        <v>3.5830951911484972</v>
      </c>
      <c r="T234" s="97">
        <f t="shared" si="129"/>
        <v>3.7039485811291488</v>
      </c>
      <c r="U234" s="97">
        <f t="shared" si="129"/>
        <v>3.5292888061775138</v>
      </c>
      <c r="V234" s="97">
        <f t="shared" si="129"/>
        <v>3.6605414026129788</v>
      </c>
      <c r="W234" s="97">
        <f t="shared" si="129"/>
        <v>3.580407783152324</v>
      </c>
      <c r="X234" s="97">
        <f t="shared" si="129"/>
        <v>3.6435235151702026</v>
      </c>
      <c r="Y234" s="97">
        <f t="shared" si="129"/>
        <v>3.754731905179113</v>
      </c>
      <c r="Z234" s="97">
        <f t="shared" si="129"/>
        <v>3.5691851418865941</v>
      </c>
      <c r="AA234" s="97">
        <f t="shared" si="129"/>
        <v>3.3718460967998065</v>
      </c>
      <c r="AB234" s="97">
        <f t="shared" si="129"/>
        <v>3.2388004105545281</v>
      </c>
      <c r="AC234" s="97">
        <f t="shared" si="129"/>
        <v>3.1350950461651119</v>
      </c>
      <c r="AD234" s="97">
        <f t="shared" si="129"/>
        <v>2.8876445511990947</v>
      </c>
      <c r="AE234" s="97">
        <f t="shared" si="129"/>
        <v>2.9414889086904963</v>
      </c>
      <c r="AF234" s="97">
        <f t="shared" si="129"/>
        <v>2.951793887761581</v>
      </c>
      <c r="AG234" s="97">
        <f t="shared" si="129"/>
        <v>2.7917755803370592</v>
      </c>
      <c r="AH234" s="97">
        <f t="shared" si="129"/>
        <v>2.8417880687306716</v>
      </c>
      <c r="AI234" s="97">
        <f t="shared" si="129"/>
        <v>2.8667249049805155</v>
      </c>
      <c r="AJ234" s="97">
        <f t="shared" si="129"/>
        <v>2.806383049846104</v>
      </c>
      <c r="AK234" s="97">
        <f t="shared" si="129"/>
        <v>2.811591108937213</v>
      </c>
      <c r="AL234" s="97">
        <f t="shared" si="129"/>
        <v>2.7748017173172275</v>
      </c>
      <c r="AM234" s="97">
        <f t="shared" si="129"/>
        <v>2.8298358246340167</v>
      </c>
      <c r="AN234" s="97">
        <f t="shared" si="129"/>
        <v>2.8878046635727705</v>
      </c>
      <c r="AO234" s="97">
        <f t="shared" si="129"/>
        <v>2.9793744187359854</v>
      </c>
      <c r="AP234" s="97">
        <f t="shared" si="129"/>
        <v>3.1544041118065369</v>
      </c>
      <c r="AQ234" s="97">
        <f t="shared" si="129"/>
        <v>3.2557772118535793</v>
      </c>
      <c r="AR234" s="97">
        <f t="shared" si="129"/>
        <v>3.3637625941070342</v>
      </c>
      <c r="AS234" s="97">
        <f t="shared" si="129"/>
        <v>3.4465515901640567</v>
      </c>
      <c r="AT234" s="97">
        <f t="shared" ref="AT234:BJ234" si="130">AT132/AT233</f>
        <v>3.457484232575037</v>
      </c>
      <c r="AU234" s="97">
        <f t="shared" si="130"/>
        <v>3.4737764609009965</v>
      </c>
      <c r="AV234" s="97">
        <f t="shared" si="130"/>
        <v>3.5236269543008101</v>
      </c>
      <c r="AW234" s="97">
        <f t="shared" si="130"/>
        <v>3.5345441270544002</v>
      </c>
      <c r="AX234" s="97">
        <f t="shared" si="130"/>
        <v>3.5955490001662866</v>
      </c>
      <c r="AY234" s="97">
        <f t="shared" si="130"/>
        <v>3.6413236568254099</v>
      </c>
      <c r="AZ234" s="97">
        <f t="shared" si="130"/>
        <v>3.7474213690588338</v>
      </c>
      <c r="BA234" s="97">
        <f t="shared" si="130"/>
        <v>3.7597059491270133</v>
      </c>
      <c r="BB234" s="97">
        <f t="shared" si="130"/>
        <v>3.7947867859288649</v>
      </c>
      <c r="BC234" s="97">
        <f t="shared" si="130"/>
        <v>3.8674496293886427</v>
      </c>
      <c r="BD234" s="97">
        <f t="shared" si="130"/>
        <v>3.7751381113786482</v>
      </c>
      <c r="BE234" s="97">
        <f t="shared" si="130"/>
        <v>3.8590550434899962</v>
      </c>
      <c r="BF234" s="97">
        <f t="shared" si="130"/>
        <v>3.8781391500891877</v>
      </c>
      <c r="BG234" s="97">
        <f t="shared" si="130"/>
        <v>3.8741394026002647</v>
      </c>
      <c r="BH234" s="97">
        <f t="shared" si="130"/>
        <v>3.7908189204659188</v>
      </c>
      <c r="BI234" s="97">
        <f t="shared" si="130"/>
        <v>3.9778928433553542</v>
      </c>
      <c r="BJ234" s="97">
        <f t="shared" si="130"/>
        <v>4.0562249373808372</v>
      </c>
      <c r="BK234" s="33"/>
    </row>
    <row r="235" spans="1:63" s="19" customFormat="1" x14ac:dyDescent="0.25">
      <c r="A235" s="6"/>
      <c r="B235" s="98">
        <v>0.96</v>
      </c>
      <c r="C235" s="19" t="s">
        <v>296</v>
      </c>
      <c r="D235" s="99">
        <f>E235*$B235</f>
        <v>6.2799344092262102</v>
      </c>
      <c r="E235" s="99">
        <f t="shared" ref="E235:M235" si="131">F235*$B235</f>
        <v>6.5415983429439688</v>
      </c>
      <c r="F235" s="99">
        <f t="shared" si="131"/>
        <v>6.8141649405666342</v>
      </c>
      <c r="G235" s="99">
        <f t="shared" si="131"/>
        <v>7.0980884797569113</v>
      </c>
      <c r="H235" s="99">
        <f t="shared" si="131"/>
        <v>7.3938421664134495</v>
      </c>
      <c r="I235" s="99">
        <f t="shared" si="131"/>
        <v>7.7019189233473435</v>
      </c>
      <c r="J235" s="99">
        <f t="shared" si="131"/>
        <v>8.0228322118201501</v>
      </c>
      <c r="K235" s="99">
        <f t="shared" si="131"/>
        <v>8.3571168873126567</v>
      </c>
      <c r="L235" s="99">
        <f t="shared" si="131"/>
        <v>8.7053300909506834</v>
      </c>
      <c r="M235" s="99">
        <f t="shared" si="131"/>
        <v>9.0680521780736285</v>
      </c>
      <c r="N235" s="48">
        <f t="shared" ref="N235:AS235" si="132">(N132*1000000000/1.609)/(N233*1000000*$N$9)</f>
        <v>9.4458876854933642</v>
      </c>
      <c r="O235" s="48">
        <f t="shared" si="132"/>
        <v>9.4248127592529176</v>
      </c>
      <c r="P235" s="48">
        <f t="shared" si="132"/>
        <v>9.5102755546719084</v>
      </c>
      <c r="Q235" s="48">
        <f t="shared" si="132"/>
        <v>9.2216396229223978</v>
      </c>
      <c r="R235" s="48">
        <f t="shared" si="132"/>
        <v>9.5617925473582535</v>
      </c>
      <c r="S235" s="48">
        <f t="shared" si="132"/>
        <v>9.345219298409118</v>
      </c>
      <c r="T235" s="48">
        <f t="shared" si="132"/>
        <v>9.6604220413101043</v>
      </c>
      <c r="U235" s="48">
        <f t="shared" si="132"/>
        <v>9.2048846323219191</v>
      </c>
      <c r="V235" s="48">
        <f t="shared" si="132"/>
        <v>9.5472099772374293</v>
      </c>
      <c r="W235" s="48">
        <f t="shared" si="132"/>
        <v>9.3382101580629211</v>
      </c>
      <c r="X235" s="48">
        <f t="shared" si="132"/>
        <v>9.5028249186039719</v>
      </c>
      <c r="Y235" s="48">
        <f t="shared" si="132"/>
        <v>9.7928721367252294</v>
      </c>
      <c r="Z235" s="48">
        <f t="shared" si="132"/>
        <v>9.3089399215381672</v>
      </c>
      <c r="AA235" s="48">
        <f t="shared" si="132"/>
        <v>8.7942517667187161</v>
      </c>
      <c r="AB235" s="48">
        <f t="shared" si="132"/>
        <v>8.4472497898410275</v>
      </c>
      <c r="AC235" s="48">
        <f t="shared" si="132"/>
        <v>8.1767715242803867</v>
      </c>
      <c r="AD235" s="48">
        <f t="shared" si="132"/>
        <v>7.5313856169592679</v>
      </c>
      <c r="AE235" s="48">
        <f t="shared" si="132"/>
        <v>7.6718193207531655</v>
      </c>
      <c r="AF235" s="48">
        <f t="shared" si="132"/>
        <v>7.6986961644169067</v>
      </c>
      <c r="AG235" s="48">
        <f t="shared" si="132"/>
        <v>7.2813457746375381</v>
      </c>
      <c r="AH235" s="48">
        <f t="shared" si="132"/>
        <v>7.4117854215807837</v>
      </c>
      <c r="AI235" s="48">
        <f t="shared" si="132"/>
        <v>7.4768242193048868</v>
      </c>
      <c r="AJ235" s="48">
        <f t="shared" si="132"/>
        <v>7.319444122204211</v>
      </c>
      <c r="AK235" s="48">
        <f t="shared" si="132"/>
        <v>7.333027477300587</v>
      </c>
      <c r="AL235" s="48">
        <f t="shared" si="132"/>
        <v>7.2370755379289688</v>
      </c>
      <c r="AM235" s="48">
        <f t="shared" si="132"/>
        <v>7.3806122776276775</v>
      </c>
      <c r="AN235" s="48">
        <f t="shared" si="132"/>
        <v>7.5318032126871426</v>
      </c>
      <c r="AO235" s="48">
        <f t="shared" si="132"/>
        <v>7.7706300920890206</v>
      </c>
      <c r="AP235" s="48">
        <f t="shared" si="132"/>
        <v>8.2271322998780505</v>
      </c>
      <c r="AQ235" s="48">
        <f t="shared" si="132"/>
        <v>8.4915276899975964</v>
      </c>
      <c r="AR235" s="48">
        <f t="shared" si="132"/>
        <v>8.7731688478083125</v>
      </c>
      <c r="AS235" s="48">
        <f t="shared" si="132"/>
        <v>8.9890942649055958</v>
      </c>
      <c r="AT235" s="48">
        <f t="shared" ref="AT235:BJ235" si="133">(AT132*1000000000/1.609)/(AT233*1000000*$N$9)</f>
        <v>9.0176081433797393</v>
      </c>
      <c r="AU235" s="48">
        <f t="shared" si="133"/>
        <v>9.0601005803493067</v>
      </c>
      <c r="AV235" s="48">
        <f t="shared" si="133"/>
        <v>9.1901177214249916</v>
      </c>
      <c r="AW235" s="48">
        <f t="shared" si="133"/>
        <v>9.2185912528435683</v>
      </c>
      <c r="AX235" s="48">
        <f t="shared" si="133"/>
        <v>9.3777005946524472</v>
      </c>
      <c r="AY235" s="48">
        <f t="shared" si="133"/>
        <v>9.497087376741197</v>
      </c>
      <c r="AZ235" s="48">
        <f t="shared" si="133"/>
        <v>9.773805224017547</v>
      </c>
      <c r="BA235" s="48">
        <f t="shared" si="133"/>
        <v>9.8058451472128887</v>
      </c>
      <c r="BB235" s="48">
        <f t="shared" si="133"/>
        <v>9.8973409338430844</v>
      </c>
      <c r="BC235" s="48">
        <f t="shared" si="133"/>
        <v>10.086855912025939</v>
      </c>
      <c r="BD235" s="48">
        <f t="shared" si="133"/>
        <v>9.8460944101536061</v>
      </c>
      <c r="BE235" s="48">
        <f t="shared" si="133"/>
        <v>10.06496164409357</v>
      </c>
      <c r="BF235" s="48">
        <f t="shared" si="133"/>
        <v>10.11473569467538</v>
      </c>
      <c r="BG235" s="48">
        <f t="shared" si="133"/>
        <v>10.10430378722436</v>
      </c>
      <c r="BH235" s="48">
        <f t="shared" si="133"/>
        <v>9.8869921792274056</v>
      </c>
      <c r="BI235" s="48">
        <f t="shared" si="133"/>
        <v>10.374907442749913</v>
      </c>
      <c r="BJ235" s="48">
        <f t="shared" si="133"/>
        <v>10.579208628657593</v>
      </c>
      <c r="BK235" s="33"/>
    </row>
    <row r="236" spans="1:63" s="19" customFormat="1" x14ac:dyDescent="0.25">
      <c r="A236" s="6"/>
      <c r="C236" s="19" t="s">
        <v>269</v>
      </c>
      <c r="D236" s="108">
        <f>D233/D240</f>
        <v>0.26550746475232806</v>
      </c>
      <c r="E236" s="108">
        <f t="shared" ref="E236:M236" si="134">E233/E240</f>
        <v>0.26221256320104502</v>
      </c>
      <c r="F236" s="108">
        <f t="shared" si="134"/>
        <v>0.2549229540760255</v>
      </c>
      <c r="G236" s="108">
        <f t="shared" si="134"/>
        <v>0.24427270346864707</v>
      </c>
      <c r="H236" s="108">
        <f t="shared" si="134"/>
        <v>0.23130635451973658</v>
      </c>
      <c r="I236" s="108">
        <f t="shared" si="134"/>
        <v>0.21875206500888067</v>
      </c>
      <c r="J236" s="108">
        <f t="shared" si="134"/>
        <v>0.21676756418235729</v>
      </c>
      <c r="K236" s="108">
        <f t="shared" si="134"/>
        <v>0.21288927794940363</v>
      </c>
      <c r="L236" s="108">
        <f t="shared" si="134"/>
        <v>0.20764639167120597</v>
      </c>
      <c r="M236" s="108">
        <f t="shared" si="134"/>
        <v>0.20665642849642168</v>
      </c>
      <c r="N236" s="46">
        <f>N233/N$240</f>
        <v>0.2033973488782396</v>
      </c>
      <c r="O236" s="46">
        <f t="shared" ref="O236:BJ236" si="135">O233/O$240</f>
        <v>0.19756536667328345</v>
      </c>
      <c r="P236" s="46">
        <f t="shared" si="135"/>
        <v>0.19333664618889995</v>
      </c>
      <c r="Q236" s="46">
        <f t="shared" si="135"/>
        <v>0.18524149931964984</v>
      </c>
      <c r="R236" s="46">
        <f t="shared" si="135"/>
        <v>0.17499327742620135</v>
      </c>
      <c r="S236" s="46">
        <f t="shared" si="135"/>
        <v>0.17344275475062049</v>
      </c>
      <c r="T236" s="46">
        <f t="shared" si="135"/>
        <v>0.17039845506460449</v>
      </c>
      <c r="U236" s="46">
        <f t="shared" si="135"/>
        <v>0.16682674544912049</v>
      </c>
      <c r="V236" s="46">
        <f t="shared" si="135"/>
        <v>0.1640249948534136</v>
      </c>
      <c r="W236" s="46">
        <f t="shared" si="135"/>
        <v>0.16244633403551351</v>
      </c>
      <c r="X236" s="46">
        <f t="shared" si="135"/>
        <v>0.17271356376761565</v>
      </c>
      <c r="Y236" s="46">
        <f t="shared" si="135"/>
        <v>0.17680972035833592</v>
      </c>
      <c r="Z236" s="46">
        <f t="shared" si="135"/>
        <v>0.17989707975892766</v>
      </c>
      <c r="AA236" s="46">
        <f t="shared" si="135"/>
        <v>0.18416515661938668</v>
      </c>
      <c r="AB236" s="46">
        <f t="shared" si="135"/>
        <v>0.18278628255221058</v>
      </c>
      <c r="AC236" s="46">
        <f t="shared" si="135"/>
        <v>0.17190045341512897</v>
      </c>
      <c r="AD236" s="46">
        <f t="shared" si="135"/>
        <v>0.16812639535521262</v>
      </c>
      <c r="AE236" s="46">
        <f t="shared" si="135"/>
        <v>0.16648097121395877</v>
      </c>
      <c r="AF236" s="46">
        <f t="shared" si="135"/>
        <v>0.16177434028528093</v>
      </c>
      <c r="AG236" s="46">
        <f t="shared" si="135"/>
        <v>0.16408757701958232</v>
      </c>
      <c r="AH236" s="46">
        <f t="shared" si="135"/>
        <v>0.15837519058659541</v>
      </c>
      <c r="AI236" s="46">
        <f t="shared" si="135"/>
        <v>0.16158476193175034</v>
      </c>
      <c r="AJ236" s="46">
        <f t="shared" si="135"/>
        <v>0.15315807832562428</v>
      </c>
      <c r="AK236" s="46">
        <f t="shared" si="135"/>
        <v>0.14401590868089531</v>
      </c>
      <c r="AL236" s="46">
        <f t="shared" si="135"/>
        <v>0.13327315078939772</v>
      </c>
      <c r="AM236" s="46">
        <f t="shared" si="135"/>
        <v>0.12967649072166423</v>
      </c>
      <c r="AN236" s="46">
        <f t="shared" si="135"/>
        <v>0.12285559777458431</v>
      </c>
      <c r="AO236" s="46">
        <f t="shared" si="135"/>
        <v>0.11782478610365882</v>
      </c>
      <c r="AP236" s="46">
        <f t="shared" si="135"/>
        <v>0.11349495892043633</v>
      </c>
      <c r="AQ236" s="46">
        <f t="shared" si="135"/>
        <v>0.10734032430604891</v>
      </c>
      <c r="AR236" s="46">
        <f t="shared" si="135"/>
        <v>9.995157807708524E-2</v>
      </c>
      <c r="AS236" s="46">
        <f t="shared" si="135"/>
        <v>9.4919885565113701E-2</v>
      </c>
      <c r="AT236" s="46">
        <f t="shared" si="135"/>
        <v>8.9701885918583107E-2</v>
      </c>
      <c r="AU236" s="46">
        <f t="shared" si="135"/>
        <v>8.7930925171009228E-2</v>
      </c>
      <c r="AV236" s="46">
        <f t="shared" si="135"/>
        <v>8.0466217860221623E-2</v>
      </c>
      <c r="AW236" s="46">
        <f t="shared" si="135"/>
        <v>7.6571978766381624E-2</v>
      </c>
      <c r="AX236" s="46">
        <f t="shared" si="135"/>
        <v>7.4594642616031326E-2</v>
      </c>
      <c r="AY236" s="46">
        <f t="shared" si="135"/>
        <v>7.2713249613559003E-2</v>
      </c>
      <c r="AZ236" s="46">
        <f t="shared" si="135"/>
        <v>6.6107571217452477E-2</v>
      </c>
      <c r="BA236" s="46">
        <f t="shared" si="135"/>
        <v>6.7100411647302613E-2</v>
      </c>
      <c r="BB236" s="46">
        <f t="shared" si="135"/>
        <v>6.659083153700901E-2</v>
      </c>
      <c r="BC236" s="46">
        <f t="shared" si="135"/>
        <v>6.0530758306905574E-2</v>
      </c>
      <c r="BD236" s="46">
        <f t="shared" si="135"/>
        <v>5.6328577025950718E-2</v>
      </c>
      <c r="BE236" s="46">
        <f t="shared" si="135"/>
        <v>5.6059078153181049E-2</v>
      </c>
      <c r="BF236" s="46">
        <f t="shared" si="135"/>
        <v>5.3975230784937871E-2</v>
      </c>
      <c r="BG236" s="46">
        <f t="shared" si="135"/>
        <v>4.9998676340653553E-2</v>
      </c>
      <c r="BH236" s="46">
        <f t="shared" si="135"/>
        <v>4.5563690747174208E-2</v>
      </c>
      <c r="BI236" s="46">
        <f t="shared" si="135"/>
        <v>4.3002399992589743E-2</v>
      </c>
      <c r="BJ236" s="46">
        <f t="shared" si="135"/>
        <v>4.1025526463911881E-2</v>
      </c>
      <c r="BK236" s="33"/>
    </row>
    <row r="237" spans="1:63" s="19" customFormat="1" x14ac:dyDescent="0.25">
      <c r="A237" s="6"/>
      <c r="N237" s="46"/>
      <c r="O237" s="46"/>
      <c r="P237" s="46"/>
      <c r="Q237" s="46"/>
      <c r="R237" s="46"/>
      <c r="S237" s="46"/>
      <c r="T237" s="46"/>
      <c r="U237" s="46"/>
      <c r="V237" s="46"/>
      <c r="W237" s="46"/>
      <c r="X237" s="46"/>
      <c r="Y237" s="46"/>
      <c r="Z237" s="46"/>
      <c r="AA237" s="46"/>
      <c r="AB237" s="46"/>
      <c r="AC237" s="46"/>
      <c r="AD237" s="46"/>
      <c r="AE237" s="46"/>
      <c r="AF237" s="46"/>
      <c r="AG237" s="46"/>
      <c r="AH237" s="46"/>
      <c r="AI237" s="46"/>
      <c r="AJ237" s="46"/>
      <c r="AK237" s="46"/>
      <c r="AL237" s="46"/>
      <c r="AM237" s="46"/>
      <c r="AN237" s="46"/>
      <c r="AO237" s="46"/>
      <c r="AP237" s="46"/>
      <c r="AQ237" s="46"/>
      <c r="AR237" s="46"/>
      <c r="AS237" s="46"/>
      <c r="AT237" s="46"/>
      <c r="AU237" s="46"/>
      <c r="AV237" s="46"/>
      <c r="AW237" s="46"/>
      <c r="AX237" s="46"/>
      <c r="AY237" s="46"/>
      <c r="AZ237" s="46"/>
      <c r="BA237" s="46"/>
      <c r="BB237" s="46"/>
      <c r="BC237" s="46"/>
      <c r="BD237" s="46"/>
      <c r="BE237" s="46"/>
      <c r="BF237" s="46"/>
      <c r="BG237" s="46"/>
      <c r="BH237" s="46"/>
      <c r="BI237" s="46"/>
      <c r="BJ237" s="46"/>
      <c r="BK237" s="33"/>
    </row>
    <row r="238" spans="1:63" x14ac:dyDescent="0.25">
      <c r="D238" s="6" t="s">
        <v>297</v>
      </c>
    </row>
    <row r="239" spans="1:63" x14ac:dyDescent="0.25">
      <c r="C239" s="6" t="s">
        <v>298</v>
      </c>
      <c r="D239" s="63">
        <f t="shared" ref="D239:M239" si="136">D113</f>
        <v>8.1414919999999995</v>
      </c>
      <c r="E239" s="63">
        <f t="shared" si="136"/>
        <v>8.6942769999999996</v>
      </c>
      <c r="F239" s="63">
        <f t="shared" si="136"/>
        <v>9.1461740000000002</v>
      </c>
      <c r="G239" s="63">
        <f t="shared" si="136"/>
        <v>9.6569219999999998</v>
      </c>
      <c r="H239" s="63">
        <f t="shared" si="136"/>
        <v>10.689978</v>
      </c>
      <c r="I239" s="63">
        <f t="shared" si="136"/>
        <v>11.466609</v>
      </c>
      <c r="J239" s="63">
        <f t="shared" si="136"/>
        <v>12.089806000000001</v>
      </c>
      <c r="K239" s="63">
        <f t="shared" si="136"/>
        <v>12.903219999999999</v>
      </c>
      <c r="L239" s="63">
        <f t="shared" si="136"/>
        <v>13.675647000000001</v>
      </c>
      <c r="M239" s="63">
        <f t="shared" si="136"/>
        <v>14.128594999999999</v>
      </c>
      <c r="N239" s="48">
        <f t="shared" ref="N239:BI239" si="137">N184+N196+N227</f>
        <v>14.010206831971372</v>
      </c>
      <c r="O239" s="48">
        <f t="shared" si="137"/>
        <v>14.738933783474154</v>
      </c>
      <c r="P239" s="48">
        <f t="shared" si="137"/>
        <v>15.6698129108538</v>
      </c>
      <c r="Q239" s="48">
        <f t="shared" si="137"/>
        <v>16.684245544647418</v>
      </c>
      <c r="R239" s="48">
        <f t="shared" si="137"/>
        <v>16.242113220999268</v>
      </c>
      <c r="S239" s="48">
        <f t="shared" si="137"/>
        <v>15.891951079766434</v>
      </c>
      <c r="T239" s="48">
        <f t="shared" si="137"/>
        <v>16.642553857180623</v>
      </c>
      <c r="U239" s="48">
        <f t="shared" si="137"/>
        <v>17.095828565445768</v>
      </c>
      <c r="V239" s="48">
        <f t="shared" si="137"/>
        <v>18.105676107719713</v>
      </c>
      <c r="W239" s="48">
        <f t="shared" si="137"/>
        <v>18.442067472900828</v>
      </c>
      <c r="X239" s="48">
        <f t="shared" si="137"/>
        <v>18.913037781136811</v>
      </c>
      <c r="Y239" s="48">
        <f t="shared" si="137"/>
        <v>18.492438593153299</v>
      </c>
      <c r="Z239" s="48">
        <f t="shared" si="137"/>
        <v>19.019888992767555</v>
      </c>
      <c r="AA239" s="48">
        <f t="shared" si="137"/>
        <v>19.334360925789849</v>
      </c>
      <c r="AB239" s="48">
        <f t="shared" si="137"/>
        <v>19.987682476710496</v>
      </c>
      <c r="AC239" s="48">
        <f t="shared" si="137"/>
        <v>20.158972411842868</v>
      </c>
      <c r="AD239" s="48">
        <f t="shared" si="137"/>
        <v>21.222110241192432</v>
      </c>
      <c r="AE239" s="48">
        <f t="shared" si="137"/>
        <v>21.92767883730842</v>
      </c>
      <c r="AF239" s="48">
        <f t="shared" si="137"/>
        <v>22.980334338488884</v>
      </c>
      <c r="AG239" s="48">
        <f t="shared" si="137"/>
        <v>23.647286385077933</v>
      </c>
      <c r="AH239" s="48">
        <f t="shared" si="137"/>
        <v>24.03332066114994</v>
      </c>
      <c r="AI239" s="48">
        <f t="shared" si="137"/>
        <v>23.748080194815184</v>
      </c>
      <c r="AJ239" s="48">
        <f t="shared" si="137"/>
        <v>23.76790192950768</v>
      </c>
      <c r="AK239" s="48">
        <f t="shared" si="137"/>
        <v>23.484332240744394</v>
      </c>
      <c r="AL239" s="48">
        <f t="shared" si="137"/>
        <v>22.550651254114019</v>
      </c>
      <c r="AM239" s="48">
        <f t="shared" si="137"/>
        <v>21.65470602649539</v>
      </c>
      <c r="AN239" s="48">
        <f t="shared" si="137"/>
        <v>22.107547817631403</v>
      </c>
      <c r="AO239" s="48">
        <f t="shared" si="137"/>
        <v>21.946667972946848</v>
      </c>
      <c r="AP239" s="48">
        <f t="shared" si="137"/>
        <v>21.540752144306907</v>
      </c>
      <c r="AQ239" s="48">
        <f t="shared" si="137"/>
        <v>21.476568022689019</v>
      </c>
      <c r="AR239" s="48">
        <f t="shared" si="137"/>
        <v>21.089309113202837</v>
      </c>
      <c r="AS239" s="48">
        <f t="shared" si="137"/>
        <v>20.623012170634819</v>
      </c>
      <c r="AT239" s="48">
        <f t="shared" si="137"/>
        <v>20.486593914437599</v>
      </c>
      <c r="AU239" s="48">
        <f t="shared" si="137"/>
        <v>19.591850759642846</v>
      </c>
      <c r="AV239" s="48">
        <f t="shared" si="137"/>
        <v>19.137559348115843</v>
      </c>
      <c r="AW239" s="48">
        <f t="shared" si="137"/>
        <v>18.505211553737283</v>
      </c>
      <c r="AX239" s="48">
        <f t="shared" si="137"/>
        <v>17.73487476311653</v>
      </c>
      <c r="AY239" s="48">
        <f t="shared" si="137"/>
        <v>17.247609834788644</v>
      </c>
      <c r="AZ239" s="48">
        <f t="shared" si="137"/>
        <v>16.179755763423504</v>
      </c>
      <c r="BA239" s="48">
        <f t="shared" si="137"/>
        <v>15.266844195002079</v>
      </c>
      <c r="BB239" s="48">
        <f t="shared" si="137"/>
        <v>14.235892978683218</v>
      </c>
      <c r="BC239" s="48">
        <f t="shared" si="137"/>
        <v>13.524776888563276</v>
      </c>
      <c r="BD239" s="48">
        <f t="shared" si="137"/>
        <v>12.875329380651781</v>
      </c>
      <c r="BE239" s="48">
        <f t="shared" si="137"/>
        <v>12.214699950255381</v>
      </c>
      <c r="BF239" s="48">
        <f t="shared" si="137"/>
        <v>11.946199477476402</v>
      </c>
      <c r="BG239" s="48">
        <f t="shared" si="137"/>
        <v>11.683705288287861</v>
      </c>
      <c r="BH239" s="48">
        <f t="shared" si="137"/>
        <v>11.533117566688047</v>
      </c>
      <c r="BI239" s="48">
        <f t="shared" si="137"/>
        <v>11.358007569647894</v>
      </c>
      <c r="BJ239" s="95">
        <f>BJ184+BJ196+BJ227</f>
        <v>11.145490593136897</v>
      </c>
      <c r="BK239" s="110">
        <f>BK184+BK196+BK227</f>
        <v>9.9861869669344188</v>
      </c>
    </row>
    <row r="240" spans="1:63" x14ac:dyDescent="0.25">
      <c r="C240" s="6" t="s">
        <v>299</v>
      </c>
      <c r="D240" s="63">
        <f t="shared" ref="D240:M240" si="138">D114</f>
        <v>2.6698770000000001</v>
      </c>
      <c r="E240" s="63">
        <f t="shared" si="138"/>
        <v>2.933405</v>
      </c>
      <c r="F240" s="63">
        <f t="shared" si="138"/>
        <v>3.1430069999999999</v>
      </c>
      <c r="G240" s="63">
        <f t="shared" si="138"/>
        <v>3.4167100000000001</v>
      </c>
      <c r="H240" s="63">
        <f t="shared" si="138"/>
        <v>3.7585839999999999</v>
      </c>
      <c r="I240" s="63">
        <f t="shared" si="138"/>
        <v>3.974291</v>
      </c>
      <c r="J240" s="63">
        <f t="shared" si="138"/>
        <v>4.1777870000000004</v>
      </c>
      <c r="K240" s="63">
        <f t="shared" si="138"/>
        <v>4.4311409999999993</v>
      </c>
      <c r="L240" s="63">
        <f t="shared" si="138"/>
        <v>4.732316</v>
      </c>
      <c r="M240" s="63">
        <f t="shared" si="138"/>
        <v>4.9531099999999997</v>
      </c>
      <c r="N240" s="48">
        <f t="shared" ref="N240:BJ240" si="139">N185+N197+N220+N233</f>
        <v>4.8053144319082302</v>
      </c>
      <c r="O240" s="48">
        <f t="shared" si="139"/>
        <v>4.9582261348897072</v>
      </c>
      <c r="P240" s="48">
        <f t="shared" si="139"/>
        <v>5.0211430546971041</v>
      </c>
      <c r="Q240" s="48">
        <f t="shared" si="139"/>
        <v>5.404598573949003</v>
      </c>
      <c r="R240" s="48">
        <f t="shared" si="139"/>
        <v>5.2667876411886763</v>
      </c>
      <c r="S240" s="48">
        <f t="shared" si="139"/>
        <v>5.1781130870305425</v>
      </c>
      <c r="T240" s="48">
        <f t="shared" si="139"/>
        <v>5.3535854241829215</v>
      </c>
      <c r="U240" s="48">
        <f t="shared" si="139"/>
        <v>5.465541089790122</v>
      </c>
      <c r="V240" s="48">
        <f t="shared" si="139"/>
        <v>5.6275580388685755</v>
      </c>
      <c r="W240" s="48">
        <f t="shared" si="139"/>
        <v>5.8094220841549431</v>
      </c>
      <c r="X240" s="48">
        <f t="shared" si="139"/>
        <v>5.6251058950404618</v>
      </c>
      <c r="Y240" s="48">
        <f t="shared" si="139"/>
        <v>5.3320431415728313</v>
      </c>
      <c r="Z240" s="48">
        <f t="shared" si="139"/>
        <v>5.5129688038856042</v>
      </c>
      <c r="AA240" s="48">
        <f t="shared" si="139"/>
        <v>5.9594841600804518</v>
      </c>
      <c r="AB240" s="48">
        <f t="shared" si="139"/>
        <v>6.5228816639363476</v>
      </c>
      <c r="AC240" s="48">
        <f t="shared" si="139"/>
        <v>6.86682763259578</v>
      </c>
      <c r="AD240" s="48">
        <f t="shared" si="139"/>
        <v>7.622619556791653</v>
      </c>
      <c r="AE240" s="48">
        <f t="shared" si="139"/>
        <v>8.2141804041030362</v>
      </c>
      <c r="AF240" s="48">
        <f t="shared" si="139"/>
        <v>9.0975435176203057</v>
      </c>
      <c r="AG240" s="48">
        <f t="shared" si="139"/>
        <v>9.8346264608888525</v>
      </c>
      <c r="AH240" s="48">
        <f t="shared" si="139"/>
        <v>10.367527713347734</v>
      </c>
      <c r="AI240" s="48">
        <f t="shared" si="139"/>
        <v>10.42055563625637</v>
      </c>
      <c r="AJ240" s="48">
        <f t="shared" si="139"/>
        <v>10.855933761317377</v>
      </c>
      <c r="AK240" s="48">
        <f t="shared" si="139"/>
        <v>11.523685886570201</v>
      </c>
      <c r="AL240" s="48">
        <f t="shared" si="139"/>
        <v>12.617677477279438</v>
      </c>
      <c r="AM240" s="48">
        <f t="shared" si="139"/>
        <v>13.153908281491123</v>
      </c>
      <c r="AN240" s="48">
        <f t="shared" si="139"/>
        <v>14.059017616639693</v>
      </c>
      <c r="AO240" s="48">
        <f t="shared" si="139"/>
        <v>14.667100839161272</v>
      </c>
      <c r="AP240" s="48">
        <f t="shared" si="139"/>
        <v>14.831192840927233</v>
      </c>
      <c r="AQ240" s="48">
        <f t="shared" si="139"/>
        <v>15.193310092908593</v>
      </c>
      <c r="AR240" s="48">
        <f t="shared" si="139"/>
        <v>15.314084188957352</v>
      </c>
      <c r="AS240" s="48">
        <f t="shared" si="139"/>
        <v>15.73852516415621</v>
      </c>
      <c r="AT240" s="48">
        <f t="shared" si="139"/>
        <v>16.601381902378396</v>
      </c>
      <c r="AU240" s="48">
        <f t="shared" si="139"/>
        <v>17.383069773416366</v>
      </c>
      <c r="AV240" s="48">
        <f t="shared" si="139"/>
        <v>18.159442447844516</v>
      </c>
      <c r="AW240" s="48">
        <f t="shared" si="139"/>
        <v>19.024039727109045</v>
      </c>
      <c r="AX240" s="48">
        <f t="shared" si="139"/>
        <v>19.796897509274622</v>
      </c>
      <c r="AY240" s="48">
        <f t="shared" si="139"/>
        <v>20.661513171639125</v>
      </c>
      <c r="AZ240" s="48">
        <f t="shared" si="139"/>
        <v>20.134182806979943</v>
      </c>
      <c r="BA240" s="48">
        <f t="shared" si="139"/>
        <v>19.771456967947071</v>
      </c>
      <c r="BB240" s="48">
        <f t="shared" si="139"/>
        <v>20.375309046932596</v>
      </c>
      <c r="BC240" s="48">
        <f t="shared" si="139"/>
        <v>20.619423476062209</v>
      </c>
      <c r="BD240" s="48">
        <f t="shared" si="139"/>
        <v>21.186169890651602</v>
      </c>
      <c r="BE240" s="48">
        <f t="shared" si="139"/>
        <v>21.568856298190994</v>
      </c>
      <c r="BF240" s="48">
        <f t="shared" si="139"/>
        <v>22.291338472725116</v>
      </c>
      <c r="BG240" s="48">
        <f t="shared" si="139"/>
        <v>23.258426204980182</v>
      </c>
      <c r="BH240" s="48">
        <f t="shared" si="139"/>
        <v>24.220185049826842</v>
      </c>
      <c r="BI240" s="48">
        <f t="shared" si="139"/>
        <v>24.45589818405205</v>
      </c>
      <c r="BJ240" s="95">
        <f t="shared" si="139"/>
        <v>24.172404836765644</v>
      </c>
      <c r="BK240" s="105">
        <f t="array" ref="BK240">TREND(AZ240:BJ240,AZ207:BJ207,BK207)</f>
        <v>25.105605224752708</v>
      </c>
    </row>
    <row r="241" spans="3:63" s="19" customFormat="1" x14ac:dyDescent="0.25">
      <c r="C241" s="19" t="s">
        <v>300</v>
      </c>
      <c r="D241" s="103">
        <f t="shared" ref="D241:M241" si="140">D115</f>
        <v>10.811368999999999</v>
      </c>
      <c r="E241" s="103">
        <f t="shared" si="140"/>
        <v>11.627682</v>
      </c>
      <c r="F241" s="103">
        <f t="shared" si="140"/>
        <v>12.289180999999999</v>
      </c>
      <c r="G241" s="103">
        <f t="shared" si="140"/>
        <v>13.073632</v>
      </c>
      <c r="H241" s="103">
        <f t="shared" si="140"/>
        <v>14.448561999999999</v>
      </c>
      <c r="I241" s="103">
        <f t="shared" si="140"/>
        <v>15.440899999999999</v>
      </c>
      <c r="J241" s="103">
        <f t="shared" si="140"/>
        <v>16.267593000000002</v>
      </c>
      <c r="K241" s="103">
        <f t="shared" si="140"/>
        <v>17.334360999999998</v>
      </c>
      <c r="L241" s="103">
        <f t="shared" si="140"/>
        <v>18.407963000000002</v>
      </c>
      <c r="M241" s="103">
        <f t="shared" si="140"/>
        <v>19.081704999999999</v>
      </c>
      <c r="N241" s="97">
        <f>SUM(N239:N240)</f>
        <v>18.815521263879603</v>
      </c>
      <c r="O241" s="97">
        <f t="shared" ref="O241:BJ241" si="141">SUM(O239:O240)</f>
        <v>19.697159918363862</v>
      </c>
      <c r="P241" s="97">
        <f t="shared" si="141"/>
        <v>20.690955965550906</v>
      </c>
      <c r="Q241" s="97">
        <f t="shared" si="141"/>
        <v>22.08884411859642</v>
      </c>
      <c r="R241" s="97">
        <f t="shared" si="141"/>
        <v>21.508900862187943</v>
      </c>
      <c r="S241" s="97">
        <f t="shared" si="141"/>
        <v>21.070064166796975</v>
      </c>
      <c r="T241" s="97">
        <f t="shared" si="141"/>
        <v>21.996139281363543</v>
      </c>
      <c r="U241" s="97">
        <f t="shared" si="141"/>
        <v>22.56136965523589</v>
      </c>
      <c r="V241" s="97">
        <f t="shared" si="141"/>
        <v>23.733234146588288</v>
      </c>
      <c r="W241" s="97">
        <f t="shared" si="141"/>
        <v>24.25148955705577</v>
      </c>
      <c r="X241" s="97">
        <f t="shared" si="141"/>
        <v>24.538143676177274</v>
      </c>
      <c r="Y241" s="97">
        <f t="shared" si="141"/>
        <v>23.824481734726131</v>
      </c>
      <c r="Z241" s="97">
        <f t="shared" si="141"/>
        <v>24.532857796653161</v>
      </c>
      <c r="AA241" s="97">
        <f t="shared" si="141"/>
        <v>25.293845085870302</v>
      </c>
      <c r="AB241" s="97">
        <f t="shared" si="141"/>
        <v>26.510564140646842</v>
      </c>
      <c r="AC241" s="97">
        <f t="shared" si="141"/>
        <v>27.025800044438647</v>
      </c>
      <c r="AD241" s="97">
        <f t="shared" si="141"/>
        <v>28.844729797984087</v>
      </c>
      <c r="AE241" s="97">
        <f t="shared" si="141"/>
        <v>30.141859241411456</v>
      </c>
      <c r="AF241" s="97">
        <f t="shared" si="141"/>
        <v>32.07787785610919</v>
      </c>
      <c r="AG241" s="97">
        <f t="shared" si="141"/>
        <v>33.481912845966789</v>
      </c>
      <c r="AH241" s="97">
        <f t="shared" si="141"/>
        <v>34.40084837449767</v>
      </c>
      <c r="AI241" s="97">
        <f t="shared" si="141"/>
        <v>34.168635831071555</v>
      </c>
      <c r="AJ241" s="97">
        <f t="shared" si="141"/>
        <v>34.623835690825061</v>
      </c>
      <c r="AK241" s="97">
        <f t="shared" si="141"/>
        <v>35.008018127314593</v>
      </c>
      <c r="AL241" s="97">
        <f t="shared" si="141"/>
        <v>35.168328731393458</v>
      </c>
      <c r="AM241" s="97">
        <f t="shared" si="141"/>
        <v>34.808614307986517</v>
      </c>
      <c r="AN241" s="97">
        <f t="shared" si="141"/>
        <v>36.166565434271092</v>
      </c>
      <c r="AO241" s="97">
        <f t="shared" si="141"/>
        <v>36.61376881210812</v>
      </c>
      <c r="AP241" s="97">
        <f t="shared" si="141"/>
        <v>36.371944985234137</v>
      </c>
      <c r="AQ241" s="97">
        <f t="shared" si="141"/>
        <v>36.669878115597612</v>
      </c>
      <c r="AR241" s="97">
        <f t="shared" si="141"/>
        <v>36.40339330216019</v>
      </c>
      <c r="AS241" s="97">
        <f t="shared" si="141"/>
        <v>36.361537334791031</v>
      </c>
      <c r="AT241" s="97">
        <f t="shared" si="141"/>
        <v>37.087975816815998</v>
      </c>
      <c r="AU241" s="97">
        <f t="shared" si="141"/>
        <v>36.974920533059212</v>
      </c>
      <c r="AV241" s="97">
        <f t="shared" si="141"/>
        <v>37.297001795960355</v>
      </c>
      <c r="AW241" s="97">
        <f t="shared" si="141"/>
        <v>37.529251280846324</v>
      </c>
      <c r="AX241" s="97">
        <f t="shared" si="141"/>
        <v>37.531772272391152</v>
      </c>
      <c r="AY241" s="97">
        <f t="shared" si="141"/>
        <v>37.90912300642777</v>
      </c>
      <c r="AZ241" s="97">
        <f t="shared" si="141"/>
        <v>36.313938570403451</v>
      </c>
      <c r="BA241" s="97">
        <f t="shared" si="141"/>
        <v>35.038301162949153</v>
      </c>
      <c r="BB241" s="97">
        <f t="shared" si="141"/>
        <v>34.61120202561581</v>
      </c>
      <c r="BC241" s="97">
        <f t="shared" si="141"/>
        <v>34.144200364625483</v>
      </c>
      <c r="BD241" s="97">
        <f t="shared" si="141"/>
        <v>34.061499271303383</v>
      </c>
      <c r="BE241" s="97">
        <f t="shared" si="141"/>
        <v>33.783556248446374</v>
      </c>
      <c r="BF241" s="97">
        <f t="shared" si="141"/>
        <v>34.237537950201514</v>
      </c>
      <c r="BG241" s="97">
        <f t="shared" si="141"/>
        <v>34.942131493268043</v>
      </c>
      <c r="BH241" s="97">
        <f t="shared" si="141"/>
        <v>35.753302616514887</v>
      </c>
      <c r="BI241" s="97">
        <f t="shared" si="141"/>
        <v>35.813905753699942</v>
      </c>
      <c r="BJ241" s="97">
        <f t="shared" si="141"/>
        <v>35.317895429902542</v>
      </c>
      <c r="BK241" s="33"/>
    </row>
    <row r="242" spans="3:63" x14ac:dyDescent="0.25">
      <c r="C242" s="6" t="s">
        <v>301</v>
      </c>
      <c r="D242" s="111">
        <f>D239*D245</f>
        <v>101.19874555999999</v>
      </c>
      <c r="E242" s="111">
        <f t="shared" ref="D242:L243" si="142">E239*E245</f>
        <v>108.06986310999999</v>
      </c>
      <c r="F242" s="111">
        <f t="shared" si="142"/>
        <v>113.68694282</v>
      </c>
      <c r="G242" s="111">
        <f t="shared" si="142"/>
        <v>120.03554045999999</v>
      </c>
      <c r="H242" s="111">
        <f t="shared" si="142"/>
        <v>132.87642653999998</v>
      </c>
      <c r="I242" s="111">
        <f t="shared" si="142"/>
        <v>142.52994987</v>
      </c>
      <c r="J242" s="111">
        <f t="shared" si="142"/>
        <v>150.27628858</v>
      </c>
      <c r="K242" s="111">
        <f t="shared" si="142"/>
        <v>160.38702459999999</v>
      </c>
      <c r="L242" s="111">
        <f t="shared" si="142"/>
        <v>169.98829221000003</v>
      </c>
      <c r="M242" s="111">
        <f>M239*M245</f>
        <v>175.61843584999997</v>
      </c>
      <c r="N242" s="112">
        <f t="shared" ref="N242:BJ242" si="143">N188*N184+N200*N196+N228*N227</f>
        <v>174.45153477315205</v>
      </c>
      <c r="O242" s="112">
        <f t="shared" si="143"/>
        <v>184.95680395093865</v>
      </c>
      <c r="P242" s="112">
        <f t="shared" si="143"/>
        <v>195.05104795707354</v>
      </c>
      <c r="Q242" s="112">
        <f t="shared" si="143"/>
        <v>204.98599256906169</v>
      </c>
      <c r="R242" s="112">
        <f t="shared" si="143"/>
        <v>201.48839154948334</v>
      </c>
      <c r="S242" s="112">
        <f t="shared" si="143"/>
        <v>203.84609161920747</v>
      </c>
      <c r="T242" s="112">
        <f t="shared" si="143"/>
        <v>214.36205500636211</v>
      </c>
      <c r="U242" s="112">
        <f t="shared" si="143"/>
        <v>217.99264383786286</v>
      </c>
      <c r="V242" s="112">
        <f t="shared" si="143"/>
        <v>226.80742339184741</v>
      </c>
      <c r="W242" s="112">
        <f t="shared" si="143"/>
        <v>225.98350242604195</v>
      </c>
      <c r="X242" s="112">
        <f t="shared" si="143"/>
        <v>241.34204632633944</v>
      </c>
      <c r="Y242" s="112">
        <f t="shared" si="143"/>
        <v>246.81737222088685</v>
      </c>
      <c r="Z242" s="112">
        <f t="shared" si="143"/>
        <v>254.21835099078743</v>
      </c>
      <c r="AA242" s="112">
        <f t="shared" si="143"/>
        <v>257.08214871285065</v>
      </c>
      <c r="AB242" s="112">
        <f t="shared" si="143"/>
        <v>270.01018963955465</v>
      </c>
      <c r="AC242" s="112">
        <f t="shared" si="143"/>
        <v>276.20461462514822</v>
      </c>
      <c r="AD242" s="112">
        <f t="shared" si="143"/>
        <v>289.8176995152873</v>
      </c>
      <c r="AE242" s="112">
        <f t="shared" si="143"/>
        <v>309.42571354875741</v>
      </c>
      <c r="AF242" s="112">
        <f t="shared" si="143"/>
        <v>329.30487597394625</v>
      </c>
      <c r="AG242" s="112">
        <f t="shared" si="143"/>
        <v>350.9237496800335</v>
      </c>
      <c r="AH242" s="112">
        <f t="shared" si="143"/>
        <v>346.05035762412831</v>
      </c>
      <c r="AI242" s="112">
        <f t="shared" si="143"/>
        <v>342.16070577912922</v>
      </c>
      <c r="AJ242" s="112">
        <f t="shared" si="143"/>
        <v>336.79434668132399</v>
      </c>
      <c r="AK242" s="112">
        <f t="shared" si="143"/>
        <v>327.93693412068342</v>
      </c>
      <c r="AL242" s="112">
        <f t="shared" si="143"/>
        <v>322.18250798560803</v>
      </c>
      <c r="AM242" s="112">
        <f t="shared" si="143"/>
        <v>317.95665626043262</v>
      </c>
      <c r="AN242" s="112">
        <f t="shared" si="143"/>
        <v>318.89044081938653</v>
      </c>
      <c r="AO242" s="112">
        <f t="shared" si="143"/>
        <v>318.37871436226914</v>
      </c>
      <c r="AP242" s="112">
        <f t="shared" si="143"/>
        <v>319.40667772649851</v>
      </c>
      <c r="AQ242" s="112">
        <f t="shared" si="143"/>
        <v>318.53003629300594</v>
      </c>
      <c r="AR242" s="112">
        <f t="shared" si="143"/>
        <v>312.78910240855242</v>
      </c>
      <c r="AS242" s="112">
        <f t="shared" si="143"/>
        <v>310.10115383117994</v>
      </c>
      <c r="AT242" s="112">
        <f t="shared" si="143"/>
        <v>308.45229608852071</v>
      </c>
      <c r="AU242" s="112">
        <f t="shared" si="143"/>
        <v>298.15496923651608</v>
      </c>
      <c r="AV242" s="112">
        <f t="shared" si="143"/>
        <v>291.64074202465366</v>
      </c>
      <c r="AW242" s="112">
        <f t="shared" si="143"/>
        <v>279.49986656897295</v>
      </c>
      <c r="AX242" s="112">
        <f t="shared" si="143"/>
        <v>270.96739251892433</v>
      </c>
      <c r="AY242" s="112">
        <f t="shared" si="143"/>
        <v>261.99404653599225</v>
      </c>
      <c r="AZ242" s="112">
        <f t="shared" si="143"/>
        <v>249.53544168235538</v>
      </c>
      <c r="BA242" s="112">
        <f t="shared" si="143"/>
        <v>241.34607729817654</v>
      </c>
      <c r="BB242" s="112">
        <f t="shared" si="143"/>
        <v>228.13204244334361</v>
      </c>
      <c r="BC242" s="112">
        <f t="shared" si="143"/>
        <v>220.09786161333753</v>
      </c>
      <c r="BD242" s="112">
        <f t="shared" si="143"/>
        <v>210.36678136446821</v>
      </c>
      <c r="BE242" s="112">
        <f t="shared" si="143"/>
        <v>203.07687468971625</v>
      </c>
      <c r="BF242" s="112">
        <f t="shared" si="143"/>
        <v>202.89708129071875</v>
      </c>
      <c r="BG242" s="112">
        <f t="shared" si="143"/>
        <v>199.82696306569807</v>
      </c>
      <c r="BH242" s="112">
        <f t="shared" si="143"/>
        <v>198.51480382777839</v>
      </c>
      <c r="BI242" s="112">
        <f t="shared" si="143"/>
        <v>199.25025931348779</v>
      </c>
      <c r="BJ242" s="112">
        <f t="shared" si="143"/>
        <v>201.46451314308209</v>
      </c>
    </row>
    <row r="243" spans="3:63" x14ac:dyDescent="0.25">
      <c r="C243" s="6" t="s">
        <v>302</v>
      </c>
      <c r="D243" s="111">
        <f t="shared" si="142"/>
        <v>14.417335800000002</v>
      </c>
      <c r="E243" s="111">
        <f t="shared" si="142"/>
        <v>15.840387000000002</v>
      </c>
      <c r="F243" s="111">
        <f t="shared" si="142"/>
        <v>16.972237800000002</v>
      </c>
      <c r="G243" s="111">
        <f t="shared" si="142"/>
        <v>18.450234000000002</v>
      </c>
      <c r="H243" s="111">
        <f t="shared" si="142"/>
        <v>20.2963536</v>
      </c>
      <c r="I243" s="111">
        <f t="shared" si="142"/>
        <v>21.461171400000001</v>
      </c>
      <c r="J243" s="111">
        <f t="shared" si="142"/>
        <v>22.560049800000005</v>
      </c>
      <c r="K243" s="111">
        <f t="shared" si="142"/>
        <v>23.928161399999997</v>
      </c>
      <c r="L243" s="111">
        <f t="shared" si="142"/>
        <v>25.554506400000001</v>
      </c>
      <c r="M243" s="111">
        <f>M240*M246</f>
        <v>26.746794000000001</v>
      </c>
      <c r="N243" s="112">
        <f t="shared" ref="N243:BJ243" si="144">N189*N185+N201*N197+N223*N220+N234*N233</f>
        <v>25.868965226847934</v>
      </c>
      <c r="O243" s="112">
        <f t="shared" si="144"/>
        <v>26.787596049061342</v>
      </c>
      <c r="P243" s="112">
        <f t="shared" si="144"/>
        <v>27.473652042926464</v>
      </c>
      <c r="Q243" s="112">
        <f t="shared" si="144"/>
        <v>28.962607430938291</v>
      </c>
      <c r="R243" s="112">
        <f t="shared" si="144"/>
        <v>28.276808450516675</v>
      </c>
      <c r="S243" s="112">
        <f t="shared" si="144"/>
        <v>27.849908380792524</v>
      </c>
      <c r="T243" s="112">
        <f t="shared" si="144"/>
        <v>28.918744993637851</v>
      </c>
      <c r="U243" s="112">
        <f t="shared" si="144"/>
        <v>28.827956162137138</v>
      </c>
      <c r="V243" s="112">
        <f t="shared" si="144"/>
        <v>29.8280766081526</v>
      </c>
      <c r="W243" s="112">
        <f t="shared" si="144"/>
        <v>30.008397573958071</v>
      </c>
      <c r="X243" s="112">
        <f t="shared" si="144"/>
        <v>30.578953673660557</v>
      </c>
      <c r="Y243" s="112">
        <f t="shared" si="144"/>
        <v>30.091527779113207</v>
      </c>
      <c r="Z243" s="112">
        <f t="shared" si="144"/>
        <v>30.091949009212506</v>
      </c>
      <c r="AA243" s="112">
        <f t="shared" si="144"/>
        <v>31.089751287149344</v>
      </c>
      <c r="AB243" s="112">
        <f t="shared" si="144"/>
        <v>32.964510360445374</v>
      </c>
      <c r="AC243" s="112">
        <f t="shared" si="144"/>
        <v>33.68878537485179</v>
      </c>
      <c r="AD243" s="112">
        <f t="shared" si="144"/>
        <v>35.361200484712718</v>
      </c>
      <c r="AE243" s="112">
        <f t="shared" si="144"/>
        <v>40.853586451242577</v>
      </c>
      <c r="AF243" s="112">
        <f t="shared" si="144"/>
        <v>46.396624026053843</v>
      </c>
      <c r="AG243" s="112">
        <f t="shared" si="144"/>
        <v>55.992350319966505</v>
      </c>
      <c r="AH243" s="112">
        <f t="shared" si="144"/>
        <v>64.888242375871712</v>
      </c>
      <c r="AI243" s="112">
        <f t="shared" si="144"/>
        <v>69.42149422087077</v>
      </c>
      <c r="AJ243" s="112">
        <f t="shared" si="144"/>
        <v>75.27055331867605</v>
      </c>
      <c r="AK243" s="112">
        <f t="shared" si="144"/>
        <v>84.28886587931656</v>
      </c>
      <c r="AL243" s="112">
        <f t="shared" si="144"/>
        <v>99.214592014391897</v>
      </c>
      <c r="AM243" s="112">
        <f t="shared" si="144"/>
        <v>111.64634373956746</v>
      </c>
      <c r="AN243" s="112">
        <f t="shared" si="144"/>
        <v>121.97555918061339</v>
      </c>
      <c r="AO243" s="112">
        <f t="shared" si="144"/>
        <v>131.9803856377309</v>
      </c>
      <c r="AP243" s="112">
        <f t="shared" si="144"/>
        <v>139.15832227350145</v>
      </c>
      <c r="AQ243" s="112">
        <f t="shared" si="144"/>
        <v>148.40176370699407</v>
      </c>
      <c r="AR243" s="112">
        <f t="shared" si="144"/>
        <v>153.17729759144757</v>
      </c>
      <c r="AS243" s="112">
        <f t="shared" si="144"/>
        <v>162.46214616882008</v>
      </c>
      <c r="AT243" s="112">
        <f t="shared" si="144"/>
        <v>175.21310391147938</v>
      </c>
      <c r="AU243" s="112">
        <f t="shared" si="144"/>
        <v>188.40663076348383</v>
      </c>
      <c r="AV243" s="112">
        <f t="shared" si="144"/>
        <v>202.3222579753463</v>
      </c>
      <c r="AW243" s="112">
        <f t="shared" si="144"/>
        <v>214.3022334310271</v>
      </c>
      <c r="AX243" s="112">
        <f t="shared" si="144"/>
        <v>229.91430748107564</v>
      </c>
      <c r="AY243" s="112">
        <f t="shared" si="144"/>
        <v>243.55375346400774</v>
      </c>
      <c r="AZ243" s="112">
        <f t="shared" si="144"/>
        <v>250.86355831764467</v>
      </c>
      <c r="BA243" s="112">
        <f t="shared" si="144"/>
        <v>254.38682270182341</v>
      </c>
      <c r="BB243" s="112">
        <f t="shared" si="144"/>
        <v>263.90015755665638</v>
      </c>
      <c r="BC243" s="112">
        <f t="shared" si="144"/>
        <v>275.79593838666256</v>
      </c>
      <c r="BD243" s="112">
        <f t="shared" si="144"/>
        <v>286.8142186355318</v>
      </c>
      <c r="BE243" s="112">
        <f t="shared" si="144"/>
        <v>298.77022531028376</v>
      </c>
      <c r="BF243" s="112">
        <f t="shared" si="144"/>
        <v>315.36181870928124</v>
      </c>
      <c r="BG243" s="112">
        <f t="shared" si="144"/>
        <v>330.338536934302</v>
      </c>
      <c r="BH243" s="112">
        <f t="shared" si="144"/>
        <v>345.64899617222159</v>
      </c>
      <c r="BI243" s="112">
        <f t="shared" si="144"/>
        <v>356.17654068651223</v>
      </c>
      <c r="BJ243" s="112">
        <f t="shared" si="144"/>
        <v>360.8809868569179</v>
      </c>
    </row>
    <row r="244" spans="3:63" s="19" customFormat="1" x14ac:dyDescent="0.25">
      <c r="C244" s="19" t="s">
        <v>303</v>
      </c>
      <c r="D244" s="72">
        <f t="shared" ref="D244:M244" si="145">D133</f>
        <v>112.14729999999999</v>
      </c>
      <c r="E244" s="72">
        <f t="shared" si="145"/>
        <v>122.44489999999998</v>
      </c>
      <c r="F244" s="72">
        <f t="shared" si="145"/>
        <v>128.3982</v>
      </c>
      <c r="G244" s="72">
        <f t="shared" si="145"/>
        <v>136.28229999999999</v>
      </c>
      <c r="H244" s="72">
        <f t="shared" si="145"/>
        <v>152.37230000000002</v>
      </c>
      <c r="I244" s="72">
        <f t="shared" si="145"/>
        <v>162.66990000000001</v>
      </c>
      <c r="J244" s="72">
        <f t="shared" si="145"/>
        <v>172.8066</v>
      </c>
      <c r="K244" s="72">
        <f t="shared" si="145"/>
        <v>179.8862</v>
      </c>
      <c r="L244" s="72">
        <f t="shared" si="145"/>
        <v>187.60940000000002</v>
      </c>
      <c r="M244" s="72">
        <f t="shared" si="145"/>
        <v>192.59730000000002</v>
      </c>
      <c r="N244" s="72">
        <f>SUM(N242:N243)</f>
        <v>200.32049999999998</v>
      </c>
      <c r="O244" s="72">
        <f t="shared" ref="O244:BJ244" si="146">SUM(O242:O243)</f>
        <v>211.74439999999998</v>
      </c>
      <c r="P244" s="72">
        <f t="shared" si="146"/>
        <v>222.5247</v>
      </c>
      <c r="Q244" s="72">
        <f t="shared" si="146"/>
        <v>233.9486</v>
      </c>
      <c r="R244" s="72">
        <f t="shared" si="146"/>
        <v>229.76520000000002</v>
      </c>
      <c r="S244" s="72">
        <f t="shared" si="146"/>
        <v>231.696</v>
      </c>
      <c r="T244" s="72">
        <f t="shared" si="146"/>
        <v>243.28079999999997</v>
      </c>
      <c r="U244" s="72">
        <f t="shared" si="146"/>
        <v>246.82059999999998</v>
      </c>
      <c r="V244" s="72">
        <f t="shared" si="146"/>
        <v>256.63549999999998</v>
      </c>
      <c r="W244" s="72">
        <f t="shared" si="146"/>
        <v>255.99190000000002</v>
      </c>
      <c r="X244" s="72">
        <f t="shared" si="146"/>
        <v>271.92099999999999</v>
      </c>
      <c r="Y244" s="72">
        <f t="shared" si="146"/>
        <v>276.90890000000007</v>
      </c>
      <c r="Z244" s="72">
        <f t="shared" si="146"/>
        <v>284.31029999999993</v>
      </c>
      <c r="AA244" s="72">
        <f t="shared" si="146"/>
        <v>288.17189999999999</v>
      </c>
      <c r="AB244" s="72">
        <f t="shared" si="146"/>
        <v>302.97470000000004</v>
      </c>
      <c r="AC244" s="72">
        <f t="shared" si="146"/>
        <v>309.89340000000004</v>
      </c>
      <c r="AD244" s="72">
        <f t="shared" si="146"/>
        <v>325.1789</v>
      </c>
      <c r="AE244" s="72">
        <f t="shared" si="146"/>
        <v>350.27929999999998</v>
      </c>
      <c r="AF244" s="72">
        <f t="shared" si="146"/>
        <v>375.70150000000012</v>
      </c>
      <c r="AG244" s="72">
        <f t="shared" si="146"/>
        <v>406.91610000000003</v>
      </c>
      <c r="AH244" s="72">
        <f t="shared" si="146"/>
        <v>410.93860000000001</v>
      </c>
      <c r="AI244" s="72">
        <f t="shared" si="146"/>
        <v>411.5822</v>
      </c>
      <c r="AJ244" s="72">
        <f t="shared" si="146"/>
        <v>412.06490000000002</v>
      </c>
      <c r="AK244" s="72">
        <f t="shared" si="146"/>
        <v>412.22579999999999</v>
      </c>
      <c r="AL244" s="72">
        <f t="shared" si="146"/>
        <v>421.39709999999991</v>
      </c>
      <c r="AM244" s="72">
        <f t="shared" si="146"/>
        <v>429.60300000000007</v>
      </c>
      <c r="AN244" s="72">
        <f t="shared" si="146"/>
        <v>440.86599999999993</v>
      </c>
      <c r="AO244" s="72">
        <f t="shared" si="146"/>
        <v>450.35910000000001</v>
      </c>
      <c r="AP244" s="72">
        <f t="shared" si="146"/>
        <v>458.56499999999994</v>
      </c>
      <c r="AQ244" s="72">
        <f t="shared" si="146"/>
        <v>466.93180000000001</v>
      </c>
      <c r="AR244" s="72">
        <f t="shared" si="146"/>
        <v>465.96640000000002</v>
      </c>
      <c r="AS244" s="72">
        <f t="shared" si="146"/>
        <v>472.56330000000003</v>
      </c>
      <c r="AT244" s="72">
        <f t="shared" si="146"/>
        <v>483.66540000000009</v>
      </c>
      <c r="AU244" s="72">
        <f t="shared" si="146"/>
        <v>486.56159999999988</v>
      </c>
      <c r="AV244" s="72">
        <f t="shared" si="146"/>
        <v>493.96299999999997</v>
      </c>
      <c r="AW244" s="72">
        <f t="shared" si="146"/>
        <v>493.80210000000005</v>
      </c>
      <c r="AX244" s="72">
        <f t="shared" si="146"/>
        <v>500.88169999999997</v>
      </c>
      <c r="AY244" s="72">
        <f t="shared" si="146"/>
        <v>505.5478</v>
      </c>
      <c r="AZ244" s="72">
        <f t="shared" si="146"/>
        <v>500.39900000000006</v>
      </c>
      <c r="BA244" s="72">
        <f t="shared" si="146"/>
        <v>495.73289999999997</v>
      </c>
      <c r="BB244" s="72">
        <f t="shared" si="146"/>
        <v>492.03219999999999</v>
      </c>
      <c r="BC244" s="72">
        <f t="shared" si="146"/>
        <v>495.89380000000006</v>
      </c>
      <c r="BD244" s="72">
        <f t="shared" si="146"/>
        <v>497.18100000000004</v>
      </c>
      <c r="BE244" s="72">
        <f t="shared" si="146"/>
        <v>501.84710000000001</v>
      </c>
      <c r="BF244" s="72">
        <f t="shared" si="146"/>
        <v>518.25890000000004</v>
      </c>
      <c r="BG244" s="72">
        <f t="shared" si="146"/>
        <v>530.16550000000007</v>
      </c>
      <c r="BH244" s="72">
        <f t="shared" si="146"/>
        <v>544.16380000000004</v>
      </c>
      <c r="BI244" s="72">
        <f t="shared" si="146"/>
        <v>555.42679999999996</v>
      </c>
      <c r="BJ244" s="72">
        <f t="shared" si="146"/>
        <v>562.34550000000002</v>
      </c>
      <c r="BK244" s="33"/>
    </row>
    <row r="245" spans="3:63" x14ac:dyDescent="0.25">
      <c r="C245" s="113" t="s">
        <v>304</v>
      </c>
      <c r="D245" s="111">
        <v>12.43</v>
      </c>
      <c r="E245" s="111">
        <v>12.43</v>
      </c>
      <c r="F245" s="111">
        <v>12.43</v>
      </c>
      <c r="G245" s="111">
        <v>12.43</v>
      </c>
      <c r="H245" s="111">
        <v>12.43</v>
      </c>
      <c r="I245" s="111">
        <v>12.43</v>
      </c>
      <c r="J245" s="111">
        <v>12.43</v>
      </c>
      <c r="K245" s="111">
        <v>12.43</v>
      </c>
      <c r="L245" s="111">
        <v>12.43</v>
      </c>
      <c r="M245" s="111">
        <v>12.43</v>
      </c>
      <c r="N245" s="99">
        <f>N242/N239</f>
        <v>12.451745849679581</v>
      </c>
      <c r="O245" s="99">
        <f t="shared" ref="O245:BJ247" si="147">O242/O239</f>
        <v>12.548859141922406</v>
      </c>
      <c r="P245" s="99">
        <f t="shared" si="147"/>
        <v>12.447567119449788</v>
      </c>
      <c r="Q245" s="99">
        <f t="shared" si="147"/>
        <v>12.286200896559246</v>
      </c>
      <c r="R245" s="99">
        <f t="shared" si="147"/>
        <v>12.405306428290437</v>
      </c>
      <c r="S245" s="99">
        <f t="shared" si="147"/>
        <v>12.827002209863549</v>
      </c>
      <c r="T245" s="99">
        <f t="shared" si="147"/>
        <v>12.880358197781833</v>
      </c>
      <c r="U245" s="99">
        <f t="shared" si="147"/>
        <v>12.751218404147513</v>
      </c>
      <c r="V245" s="99">
        <f t="shared" si="147"/>
        <v>12.526868482704359</v>
      </c>
      <c r="W245" s="99">
        <f t="shared" si="147"/>
        <v>12.253696759222196</v>
      </c>
      <c r="X245" s="99">
        <f t="shared" si="147"/>
        <v>12.760617787537303</v>
      </c>
      <c r="Y245" s="99">
        <f t="shared" si="147"/>
        <v>13.346934801355475</v>
      </c>
      <c r="Z245" s="99">
        <f t="shared" si="147"/>
        <v>13.365921908769064</v>
      </c>
      <c r="AA245" s="99">
        <f t="shared" si="147"/>
        <v>13.296645785169561</v>
      </c>
      <c r="AB245" s="99">
        <f t="shared" si="147"/>
        <v>13.508829247921494</v>
      </c>
      <c r="AC245" s="99">
        <f t="shared" si="147"/>
        <v>13.701324104342008</v>
      </c>
      <c r="AD245" s="99">
        <f t="shared" si="147"/>
        <v>13.656403450055915</v>
      </c>
      <c r="AE245" s="99">
        <f t="shared" si="147"/>
        <v>14.111193247791055</v>
      </c>
      <c r="AF245" s="99">
        <f t="shared" si="147"/>
        <v>14.32985574202052</v>
      </c>
      <c r="AG245" s="99">
        <f t="shared" si="147"/>
        <v>14.839916257853405</v>
      </c>
      <c r="AH245" s="99">
        <f t="shared" si="147"/>
        <v>14.398774206159599</v>
      </c>
      <c r="AI245" s="99">
        <f t="shared" si="147"/>
        <v>14.407931208428026</v>
      </c>
      <c r="AJ245" s="99">
        <f t="shared" si="147"/>
        <v>14.170133639906862</v>
      </c>
      <c r="AK245" s="99">
        <f t="shared" si="147"/>
        <v>13.964073185428953</v>
      </c>
      <c r="AL245" s="99">
        <f t="shared" si="147"/>
        <v>14.287060021241329</v>
      </c>
      <c r="AM245" s="99">
        <f t="shared" si="147"/>
        <v>14.683028061955682</v>
      </c>
      <c r="AN245" s="99">
        <f t="shared" si="147"/>
        <v>14.424505306964088</v>
      </c>
      <c r="AO245" s="99">
        <f t="shared" si="147"/>
        <v>14.506927190711922</v>
      </c>
      <c r="AP245" s="99">
        <f t="shared" si="147"/>
        <v>14.82801879835546</v>
      </c>
      <c r="AQ245" s="99">
        <f t="shared" si="147"/>
        <v>14.831514791213076</v>
      </c>
      <c r="AR245" s="99">
        <f t="shared" si="147"/>
        <v>14.831642930053723</v>
      </c>
      <c r="AS245" s="99">
        <f t="shared" si="147"/>
        <v>15.036656685522113</v>
      </c>
      <c r="AT245" s="99">
        <f t="shared" si="147"/>
        <v>15.056299616069605</v>
      </c>
      <c r="AU245" s="99">
        <f t="shared" si="147"/>
        <v>15.21831566064621</v>
      </c>
      <c r="AV245" s="99">
        <f t="shared" si="147"/>
        <v>15.239181586306442</v>
      </c>
      <c r="AW245" s="99">
        <f t="shared" si="147"/>
        <v>15.103846057492145</v>
      </c>
      <c r="AX245" s="99">
        <f t="shared" si="147"/>
        <v>15.278788045487588</v>
      </c>
      <c r="AY245" s="99">
        <f t="shared" si="147"/>
        <v>15.190165422663203</v>
      </c>
      <c r="AZ245" s="99">
        <f t="shared" si="147"/>
        <v>15.422695208197366</v>
      </c>
      <c r="BA245" s="99">
        <f t="shared" si="147"/>
        <v>15.808511190360234</v>
      </c>
      <c r="BB245" s="99">
        <f t="shared" si="147"/>
        <v>16.025130477234399</v>
      </c>
      <c r="BC245" s="99">
        <f t="shared" si="147"/>
        <v>16.273677815672887</v>
      </c>
      <c r="BD245" s="99">
        <f t="shared" si="147"/>
        <v>16.338749490991191</v>
      </c>
      <c r="BE245" s="99">
        <f t="shared" si="147"/>
        <v>16.625613033210069</v>
      </c>
      <c r="BF245" s="99">
        <f t="shared" si="147"/>
        <v>16.984236842291548</v>
      </c>
      <c r="BG245" s="99">
        <f t="shared" si="147"/>
        <v>17.103047204212807</v>
      </c>
      <c r="BH245" s="99">
        <f t="shared" si="147"/>
        <v>17.212588242502907</v>
      </c>
      <c r="BI245" s="99">
        <f t="shared" si="147"/>
        <v>17.542712319187572</v>
      </c>
      <c r="BJ245" s="99">
        <f t="shared" si="147"/>
        <v>18.075876648008542</v>
      </c>
    </row>
    <row r="246" spans="3:63" x14ac:dyDescent="0.25">
      <c r="C246" s="113" t="s">
        <v>305</v>
      </c>
      <c r="D246" s="111">
        <v>5.4</v>
      </c>
      <c r="E246" s="111">
        <v>5.4</v>
      </c>
      <c r="F246" s="111">
        <v>5.4</v>
      </c>
      <c r="G246" s="111">
        <v>5.4</v>
      </c>
      <c r="H246" s="111">
        <v>5.4</v>
      </c>
      <c r="I246" s="111">
        <v>5.4</v>
      </c>
      <c r="J246" s="111">
        <v>5.4</v>
      </c>
      <c r="K246" s="111">
        <v>5.4</v>
      </c>
      <c r="L246" s="111">
        <v>5.4</v>
      </c>
      <c r="M246" s="111">
        <v>5.4</v>
      </c>
      <c r="N246" s="99">
        <f>N243/N240</f>
        <v>5.3834073905909117</v>
      </c>
      <c r="O246" s="99">
        <f t="shared" si="147"/>
        <v>5.4026571843031146</v>
      </c>
      <c r="P246" s="99">
        <f t="shared" si="147"/>
        <v>5.4715931698512001</v>
      </c>
      <c r="Q246" s="99">
        <f t="shared" si="147"/>
        <v>5.3588822619579028</v>
      </c>
      <c r="R246" s="99">
        <f t="shared" si="147"/>
        <v>5.368890940158507</v>
      </c>
      <c r="S246" s="99">
        <f t="shared" si="147"/>
        <v>5.378389369391587</v>
      </c>
      <c r="T246" s="99">
        <f t="shared" si="147"/>
        <v>5.4017527885158394</v>
      </c>
      <c r="U246" s="99">
        <f t="shared" si="147"/>
        <v>5.2744926236103256</v>
      </c>
      <c r="V246" s="99">
        <f t="shared" si="147"/>
        <v>5.3003587705600195</v>
      </c>
      <c r="W246" s="99">
        <f t="shared" si="147"/>
        <v>5.1654703581971164</v>
      </c>
      <c r="X246" s="99">
        <f t="shared" si="147"/>
        <v>5.4361560909673505</v>
      </c>
      <c r="Y246" s="99">
        <f t="shared" si="147"/>
        <v>5.6435266895152862</v>
      </c>
      <c r="Z246" s="99">
        <f t="shared" si="147"/>
        <v>5.4583927607214742</v>
      </c>
      <c r="AA246" s="99">
        <f t="shared" si="147"/>
        <v>5.2168527429611693</v>
      </c>
      <c r="AB246" s="99">
        <f t="shared" si="147"/>
        <v>5.0536729100420876</v>
      </c>
      <c r="AC246" s="99">
        <f t="shared" si="147"/>
        <v>4.9060187873271026</v>
      </c>
      <c r="AD246" s="99">
        <f t="shared" si="147"/>
        <v>4.6389827304455142</v>
      </c>
      <c r="AE246" s="99">
        <f t="shared" si="147"/>
        <v>4.973543852389211</v>
      </c>
      <c r="AF246" s="99">
        <f t="shared" si="147"/>
        <v>5.0999067974988987</v>
      </c>
      <c r="AG246" s="99">
        <f t="shared" si="147"/>
        <v>5.6933886144676125</v>
      </c>
      <c r="AH246" s="99">
        <f t="shared" si="147"/>
        <v>6.2587961344275902</v>
      </c>
      <c r="AI246" s="99">
        <f t="shared" si="147"/>
        <v>6.6619762557892486</v>
      </c>
      <c r="AJ246" s="99">
        <f t="shared" si="147"/>
        <v>6.9335862739772187</v>
      </c>
      <c r="AK246" s="99">
        <f t="shared" si="147"/>
        <v>7.3144015472989858</v>
      </c>
      <c r="AL246" s="99">
        <f t="shared" si="147"/>
        <v>7.8631421823110399</v>
      </c>
      <c r="AM246" s="99">
        <f t="shared" si="147"/>
        <v>8.4876936459002934</v>
      </c>
      <c r="AN246" s="99">
        <f t="shared" si="147"/>
        <v>8.675966024556935</v>
      </c>
      <c r="AO246" s="99">
        <f t="shared" si="147"/>
        <v>8.9983962805616127</v>
      </c>
      <c r="AP246" s="99">
        <f t="shared" si="147"/>
        <v>9.3828138954197158</v>
      </c>
      <c r="AQ246" s="99">
        <f t="shared" si="147"/>
        <v>9.7675728856649808</v>
      </c>
      <c r="AR246" s="99">
        <f t="shared" si="147"/>
        <v>10.002380534247052</v>
      </c>
      <c r="AS246" s="99">
        <f t="shared" si="147"/>
        <v>10.322577527074797</v>
      </c>
      <c r="AT246" s="99">
        <f t="shared" si="147"/>
        <v>10.554127658877452</v>
      </c>
      <c r="AU246" s="99">
        <f t="shared" si="147"/>
        <v>10.838513175136125</v>
      </c>
      <c r="AV246" s="99">
        <f t="shared" si="147"/>
        <v>11.141435567552984</v>
      </c>
      <c r="AW246" s="99">
        <f t="shared" si="147"/>
        <v>11.264812127449924</v>
      </c>
      <c r="AX246" s="99">
        <f t="shared" si="147"/>
        <v>11.613653471376685</v>
      </c>
      <c r="AY246" s="99">
        <f t="shared" si="147"/>
        <v>11.787798475395308</v>
      </c>
      <c r="AZ246" s="99">
        <f t="shared" si="147"/>
        <v>12.459584812683705</v>
      </c>
      <c r="BA246" s="99">
        <f t="shared" si="147"/>
        <v>12.866367062084912</v>
      </c>
      <c r="BB246" s="99">
        <f t="shared" si="147"/>
        <v>12.951958517477568</v>
      </c>
      <c r="BC246" s="99">
        <f t="shared" si="147"/>
        <v>13.375540722893803</v>
      </c>
      <c r="BD246" s="99">
        <f t="shared" si="147"/>
        <v>13.537804148454818</v>
      </c>
      <c r="BE246" s="99">
        <f t="shared" si="147"/>
        <v>13.851927111005045</v>
      </c>
      <c r="BF246" s="99">
        <f t="shared" si="147"/>
        <v>14.147280527598047</v>
      </c>
      <c r="BG246" s="99">
        <f t="shared" si="147"/>
        <v>14.202961714734107</v>
      </c>
      <c r="BH246" s="99">
        <f t="shared" si="147"/>
        <v>14.271112935806935</v>
      </c>
      <c r="BI246" s="99">
        <f t="shared" si="147"/>
        <v>14.564034328486807</v>
      </c>
      <c r="BJ246" s="99">
        <f t="shared" si="147"/>
        <v>14.929461478653817</v>
      </c>
    </row>
    <row r="247" spans="3:63" s="19" customFormat="1" x14ac:dyDescent="0.25">
      <c r="C247" s="81" t="s">
        <v>306</v>
      </c>
      <c r="D247" s="101">
        <f t="shared" ref="D247:M247" si="148">D244/D241</f>
        <v>10.373089661448056</v>
      </c>
      <c r="E247" s="101">
        <f t="shared" si="148"/>
        <v>10.530465143439594</v>
      </c>
      <c r="F247" s="101">
        <f t="shared" si="148"/>
        <v>10.448068101527678</v>
      </c>
      <c r="G247" s="101">
        <f t="shared" si="148"/>
        <v>10.424211114401873</v>
      </c>
      <c r="H247" s="101">
        <f t="shared" si="148"/>
        <v>10.545845323569226</v>
      </c>
      <c r="I247" s="101">
        <f t="shared" si="148"/>
        <v>10.535001198116692</v>
      </c>
      <c r="J247" s="101">
        <f t="shared" si="148"/>
        <v>10.622751626500612</v>
      </c>
      <c r="K247" s="101">
        <f t="shared" si="148"/>
        <v>10.377434737859678</v>
      </c>
      <c r="L247" s="101">
        <f t="shared" si="148"/>
        <v>10.191752341092819</v>
      </c>
      <c r="M247" s="101">
        <f t="shared" si="148"/>
        <v>10.093296170336981</v>
      </c>
      <c r="N247" s="101">
        <f>N244/N241</f>
        <v>10.646555957211657</v>
      </c>
      <c r="O247" s="101">
        <f t="shared" si="147"/>
        <v>10.749996490742229</v>
      </c>
      <c r="P247" s="101">
        <f t="shared" si="147"/>
        <v>10.754684335053883</v>
      </c>
      <c r="Q247" s="101">
        <f t="shared" si="147"/>
        <v>10.591255873051345</v>
      </c>
      <c r="R247" s="101">
        <f t="shared" si="147"/>
        <v>10.682331071780657</v>
      </c>
      <c r="S247" s="101">
        <f t="shared" si="147"/>
        <v>10.996454408768036</v>
      </c>
      <c r="T247" s="101">
        <f t="shared" si="147"/>
        <v>11.060159098288768</v>
      </c>
      <c r="U247" s="101">
        <f t="shared" si="147"/>
        <v>10.939965249083162</v>
      </c>
      <c r="V247" s="101">
        <f t="shared" si="147"/>
        <v>10.813338730612573</v>
      </c>
      <c r="W247" s="101">
        <f t="shared" si="147"/>
        <v>10.555718624942001</v>
      </c>
      <c r="X247" s="101">
        <f t="shared" si="147"/>
        <v>11.081563609230679</v>
      </c>
      <c r="Y247" s="101">
        <f t="shared" si="147"/>
        <v>11.622871929943503</v>
      </c>
      <c r="Z247" s="101">
        <f t="shared" si="147"/>
        <v>11.58895968649793</v>
      </c>
      <c r="AA247" s="101">
        <f t="shared" si="147"/>
        <v>11.392965325029968</v>
      </c>
      <c r="AB247" s="101">
        <f t="shared" si="147"/>
        <v>11.428451631305332</v>
      </c>
      <c r="AC247" s="101">
        <f t="shared" si="147"/>
        <v>11.466576363713227</v>
      </c>
      <c r="AD247" s="101">
        <f t="shared" si="147"/>
        <v>11.273425068544974</v>
      </c>
      <c r="AE247" s="101">
        <f t="shared" si="147"/>
        <v>11.621025006936414</v>
      </c>
      <c r="AF247" s="101">
        <f t="shared" si="147"/>
        <v>11.712168170390619</v>
      </c>
      <c r="AG247" s="101">
        <f t="shared" si="147"/>
        <v>12.153311009201103</v>
      </c>
      <c r="AH247" s="101">
        <f t="shared" si="147"/>
        <v>11.945594932031982</v>
      </c>
      <c r="AI247" s="101">
        <f t="shared" si="147"/>
        <v>12.04561405479712</v>
      </c>
      <c r="AJ247" s="101">
        <f t="shared" si="147"/>
        <v>11.901191528274053</v>
      </c>
      <c r="AK247" s="101">
        <f t="shared" si="147"/>
        <v>11.775182431088998</v>
      </c>
      <c r="AL247" s="101">
        <f t="shared" si="147"/>
        <v>11.982289611158986</v>
      </c>
      <c r="AM247" s="101">
        <f t="shared" si="147"/>
        <v>12.341858719191578</v>
      </c>
      <c r="AN247" s="101">
        <f t="shared" si="147"/>
        <v>12.189877438078195</v>
      </c>
      <c r="AO247" s="101">
        <f t="shared" si="147"/>
        <v>12.300266118768601</v>
      </c>
      <c r="AP247" s="101">
        <f t="shared" si="147"/>
        <v>12.607656813133389</v>
      </c>
      <c r="AQ247" s="101">
        <f t="shared" si="147"/>
        <v>12.733388382913374</v>
      </c>
      <c r="AR247" s="101">
        <f t="shared" si="147"/>
        <v>12.80008146856874</v>
      </c>
      <c r="AS247" s="101">
        <f t="shared" si="147"/>
        <v>12.996240935826643</v>
      </c>
      <c r="AT247" s="101">
        <f t="shared" si="147"/>
        <v>13.041029858003254</v>
      </c>
      <c r="AU247" s="101">
        <f t="shared" si="147"/>
        <v>13.159233150074414</v>
      </c>
      <c r="AV247" s="101">
        <f t="shared" si="147"/>
        <v>13.244040437950193</v>
      </c>
      <c r="AW247" s="101">
        <f t="shared" si="147"/>
        <v>13.157792472455217</v>
      </c>
      <c r="AX247" s="101">
        <f t="shared" si="147"/>
        <v>13.345538184682393</v>
      </c>
      <c r="AY247" s="101">
        <f t="shared" si="147"/>
        <v>13.335781994067251</v>
      </c>
      <c r="AZ247" s="101">
        <f t="shared" si="147"/>
        <v>13.779805212531663</v>
      </c>
      <c r="BA247" s="101">
        <f t="shared" si="147"/>
        <v>14.148314374448239</v>
      </c>
      <c r="BB247" s="101">
        <f t="shared" si="147"/>
        <v>14.215981277848892</v>
      </c>
      <c r="BC247" s="101">
        <f t="shared" si="147"/>
        <v>14.523514819628412</v>
      </c>
      <c r="BD247" s="101">
        <f t="shared" si="147"/>
        <v>14.596568284910235</v>
      </c>
      <c r="BE247" s="101">
        <f t="shared" si="147"/>
        <v>14.85477420758742</v>
      </c>
      <c r="BF247" s="101">
        <f t="shared" si="147"/>
        <v>15.137154451754311</v>
      </c>
      <c r="BG247" s="101">
        <f t="shared" si="147"/>
        <v>15.172671996330328</v>
      </c>
      <c r="BH247" s="101">
        <f t="shared" si="147"/>
        <v>15.219959001735525</v>
      </c>
      <c r="BI247" s="101">
        <f t="shared" si="147"/>
        <v>15.508691060388427</v>
      </c>
      <c r="BJ247" s="101">
        <f t="shared" si="147"/>
        <v>15.922395520880327</v>
      </c>
      <c r="BK247" s="33"/>
    </row>
    <row r="249" spans="3:63" s="19" customFormat="1" x14ac:dyDescent="0.25">
      <c r="D249" s="19">
        <v>1960</v>
      </c>
      <c r="E249" s="19">
        <v>1961</v>
      </c>
      <c r="F249" s="19">
        <v>1962</v>
      </c>
      <c r="G249" s="19">
        <v>1963</v>
      </c>
      <c r="H249" s="19">
        <v>1964</v>
      </c>
      <c r="I249" s="19">
        <v>1965</v>
      </c>
      <c r="J249" s="19">
        <v>1966</v>
      </c>
      <c r="K249" s="19">
        <v>1967</v>
      </c>
      <c r="L249" s="19">
        <v>1968</v>
      </c>
      <c r="M249" s="19">
        <v>1969</v>
      </c>
      <c r="N249" s="19">
        <v>1970</v>
      </c>
      <c r="O249" s="19">
        <v>1971</v>
      </c>
      <c r="P249" s="19">
        <v>1972</v>
      </c>
      <c r="Q249" s="19">
        <v>1973</v>
      </c>
      <c r="R249" s="19">
        <v>1974</v>
      </c>
      <c r="S249" s="19">
        <v>1975</v>
      </c>
      <c r="T249" s="19">
        <v>1976</v>
      </c>
      <c r="U249" s="19">
        <v>1977</v>
      </c>
      <c r="V249" s="19">
        <v>1978</v>
      </c>
      <c r="W249" s="19">
        <v>1979</v>
      </c>
      <c r="X249" s="19">
        <v>1980</v>
      </c>
      <c r="Y249" s="19">
        <v>1981</v>
      </c>
      <c r="Z249" s="19">
        <v>1982</v>
      </c>
      <c r="AA249" s="19">
        <v>1983</v>
      </c>
      <c r="AB249" s="19">
        <v>1984</v>
      </c>
      <c r="AC249" s="19">
        <v>1985</v>
      </c>
      <c r="AD249" s="19">
        <v>1986</v>
      </c>
      <c r="AE249" s="19">
        <v>1987</v>
      </c>
      <c r="AF249" s="19">
        <v>1988</v>
      </c>
      <c r="AG249" s="19">
        <v>1989</v>
      </c>
      <c r="AH249" s="19">
        <v>1990</v>
      </c>
      <c r="AI249" s="19">
        <v>1991</v>
      </c>
      <c r="AJ249" s="19">
        <v>1992</v>
      </c>
      <c r="AK249" s="19">
        <v>1993</v>
      </c>
      <c r="AL249" s="19">
        <v>1994</v>
      </c>
      <c r="AM249" s="19">
        <v>1995</v>
      </c>
      <c r="AN249" s="19">
        <v>1996</v>
      </c>
      <c r="AO249" s="19">
        <v>1997</v>
      </c>
      <c r="AP249" s="19">
        <v>1998</v>
      </c>
      <c r="AQ249" s="19">
        <v>1999</v>
      </c>
      <c r="AR249" s="19">
        <v>2000</v>
      </c>
      <c r="AS249" s="19">
        <v>2001</v>
      </c>
      <c r="AT249" s="19">
        <v>2002</v>
      </c>
      <c r="AU249" s="19">
        <v>2003</v>
      </c>
      <c r="AV249" s="19">
        <v>2004</v>
      </c>
      <c r="AW249" s="19">
        <v>2005</v>
      </c>
      <c r="AX249" s="19">
        <v>2006</v>
      </c>
      <c r="AY249" s="19">
        <v>2007</v>
      </c>
      <c r="AZ249" s="19">
        <v>2008</v>
      </c>
      <c r="BA249" s="19">
        <v>2009</v>
      </c>
      <c r="BB249" s="19">
        <v>2010</v>
      </c>
      <c r="BC249" s="19">
        <v>2011</v>
      </c>
      <c r="BD249" s="19">
        <v>2012</v>
      </c>
      <c r="BE249" s="19">
        <v>2013</v>
      </c>
      <c r="BF249" s="19">
        <v>2014</v>
      </c>
      <c r="BG249" s="19">
        <v>2015</v>
      </c>
      <c r="BH249" s="19">
        <v>2016</v>
      </c>
      <c r="BI249" s="19">
        <v>2017</v>
      </c>
      <c r="BJ249" s="19">
        <v>2018</v>
      </c>
      <c r="BK249" s="33"/>
    </row>
    <row r="250" spans="3:63" s="19" customFormat="1" x14ac:dyDescent="0.25">
      <c r="C250" s="19" t="s">
        <v>307</v>
      </c>
      <c r="D250" s="97">
        <f>8*LOG(D257*0.83)</f>
        <v>11.079046731864642</v>
      </c>
      <c r="E250" s="97">
        <f t="shared" ref="E250:BJ250" si="149">8*LOG(E257*0.83)</f>
        <v>11.079046731864642</v>
      </c>
      <c r="F250" s="97">
        <f t="shared" si="149"/>
        <v>11.079046731864642</v>
      </c>
      <c r="G250" s="97">
        <f t="shared" si="149"/>
        <v>11.079046731864644</v>
      </c>
      <c r="H250" s="97">
        <f t="shared" si="149"/>
        <v>11.079046731864642</v>
      </c>
      <c r="I250" s="97">
        <f t="shared" si="149"/>
        <v>11.079046731864644</v>
      </c>
      <c r="J250" s="97">
        <f t="shared" si="149"/>
        <v>11.079046731864642</v>
      </c>
      <c r="K250" s="97">
        <f t="shared" si="149"/>
        <v>11.079046731864644</v>
      </c>
      <c r="L250" s="97">
        <f t="shared" si="149"/>
        <v>11.079046731864644</v>
      </c>
      <c r="M250" s="97">
        <f t="shared" si="149"/>
        <v>11.079046731864642</v>
      </c>
      <c r="N250" s="97">
        <f t="shared" si="149"/>
        <v>11.085119685093392</v>
      </c>
      <c r="O250" s="97">
        <f t="shared" si="149"/>
        <v>11.112111658501801</v>
      </c>
      <c r="P250" s="97">
        <f t="shared" si="149"/>
        <v>11.083953516693839</v>
      </c>
      <c r="Q250" s="97">
        <f t="shared" si="149"/>
        <v>11.038618601639264</v>
      </c>
      <c r="R250" s="97">
        <f t="shared" si="149"/>
        <v>11.072137674070175</v>
      </c>
      <c r="S250" s="97">
        <f t="shared" si="149"/>
        <v>11.188279059209837</v>
      </c>
      <c r="T250" s="97">
        <f t="shared" si="149"/>
        <v>11.202701228758466</v>
      </c>
      <c r="U250" s="97">
        <f t="shared" si="149"/>
        <v>11.167691178329209</v>
      </c>
      <c r="V250" s="97">
        <f t="shared" si="149"/>
        <v>11.106017845684489</v>
      </c>
      <c r="W250" s="97">
        <f t="shared" si="149"/>
        <v>11.02941473229126</v>
      </c>
      <c r="X250" s="97">
        <f t="shared" si="149"/>
        <v>11.170251307984174</v>
      </c>
      <c r="Y250" s="97">
        <f t="shared" si="149"/>
        <v>11.326330014580908</v>
      </c>
      <c r="Z250" s="97">
        <f t="shared" si="149"/>
        <v>11.331269057951777</v>
      </c>
      <c r="AA250" s="97">
        <f t="shared" si="149"/>
        <v>11.313214499212588</v>
      </c>
      <c r="AB250" s="97">
        <f t="shared" si="149"/>
        <v>11.368219400489151</v>
      </c>
      <c r="AC250" s="97">
        <f t="shared" si="149"/>
        <v>11.417378020082975</v>
      </c>
      <c r="AD250" s="97">
        <f t="shared" si="149"/>
        <v>11.405968411723617</v>
      </c>
      <c r="AE250" s="97">
        <f t="shared" si="149"/>
        <v>11.519787618022173</v>
      </c>
      <c r="AF250" s="97">
        <f t="shared" si="149"/>
        <v>11.573212249910346</v>
      </c>
      <c r="AG250" s="97">
        <f t="shared" si="149"/>
        <v>11.694729304423914</v>
      </c>
      <c r="AH250" s="97">
        <f t="shared" si="149"/>
        <v>11.589881873848821</v>
      </c>
      <c r="AI250" s="97">
        <f t="shared" si="149"/>
        <v>11.592090712732777</v>
      </c>
      <c r="AJ250" s="97">
        <f t="shared" si="149"/>
        <v>11.534269271853256</v>
      </c>
      <c r="AK250" s="97">
        <f t="shared" si="149"/>
        <v>11.483374632946047</v>
      </c>
      <c r="AL250" s="97">
        <f t="shared" si="149"/>
        <v>11.562820656690377</v>
      </c>
      <c r="AM250" s="97">
        <f t="shared" si="149"/>
        <v>11.657802733195458</v>
      </c>
      <c r="AN250" s="97">
        <f t="shared" si="149"/>
        <v>11.596085125248411</v>
      </c>
      <c r="AO250" s="97">
        <f t="shared" si="149"/>
        <v>11.615881153608756</v>
      </c>
      <c r="AP250" s="97">
        <f t="shared" si="149"/>
        <v>11.691942726240665</v>
      </c>
      <c r="AQ250" s="97">
        <f t="shared" si="149"/>
        <v>11.692761776430666</v>
      </c>
      <c r="AR250" s="97">
        <f t="shared" si="149"/>
        <v>11.692791793459566</v>
      </c>
      <c r="AS250" s="97">
        <f t="shared" si="149"/>
        <v>11.740487975522692</v>
      </c>
      <c r="AT250" s="97">
        <f t="shared" si="149"/>
        <v>11.745023690775799</v>
      </c>
      <c r="AU250" s="97">
        <f t="shared" si="149"/>
        <v>11.782210407219161</v>
      </c>
      <c r="AV250" s="97">
        <f t="shared" si="149"/>
        <v>11.786970854983219</v>
      </c>
      <c r="AW250" s="97">
        <f t="shared" si="149"/>
        <v>11.755978106963859</v>
      </c>
      <c r="AX250" s="97">
        <f t="shared" si="149"/>
        <v>11.795988952338872</v>
      </c>
      <c r="AY250" s="97">
        <f t="shared" si="149"/>
        <v>11.775777729978016</v>
      </c>
      <c r="AZ250" s="97">
        <f t="shared" si="149"/>
        <v>11.828559909968279</v>
      </c>
      <c r="BA250" s="97">
        <f t="shared" si="149"/>
        <v>11.914405470661261</v>
      </c>
      <c r="BB250" s="97">
        <f t="shared" si="149"/>
        <v>11.961690296713726</v>
      </c>
      <c r="BC250" s="97">
        <f t="shared" si="149"/>
        <v>12.015163411807432</v>
      </c>
      <c r="BD250" s="97">
        <f t="shared" si="149"/>
        <v>12.029028215801013</v>
      </c>
      <c r="BE250" s="97">
        <f t="shared" si="149"/>
        <v>12.089499046187044</v>
      </c>
      <c r="BF250" s="97">
        <f t="shared" si="149"/>
        <v>12.163646001633799</v>
      </c>
      <c r="BG250" s="97">
        <f t="shared" si="149"/>
        <v>12.187865657717117</v>
      </c>
      <c r="BH250" s="97">
        <f t="shared" si="149"/>
        <v>12.210047140620143</v>
      </c>
      <c r="BI250" s="97">
        <f t="shared" si="149"/>
        <v>12.276051634670273</v>
      </c>
      <c r="BJ250" s="97">
        <f t="shared" si="149"/>
        <v>12.380072654656706</v>
      </c>
      <c r="BK250" s="33"/>
    </row>
    <row r="251" spans="3:63" s="19" customFormat="1" x14ac:dyDescent="0.25">
      <c r="C251" s="19" t="s">
        <v>308</v>
      </c>
      <c r="D251" s="97">
        <f>7.5*LOG(D257)</f>
        <v>10.993520618302549</v>
      </c>
      <c r="E251" s="97">
        <f t="shared" ref="E251:BJ251" si="150">7.5*LOG(E257)</f>
        <v>10.993520618302549</v>
      </c>
      <c r="F251" s="97">
        <f t="shared" si="150"/>
        <v>10.993520618302549</v>
      </c>
      <c r="G251" s="97">
        <f t="shared" si="150"/>
        <v>10.993520618302549</v>
      </c>
      <c r="H251" s="97">
        <f t="shared" si="150"/>
        <v>10.993520618302549</v>
      </c>
      <c r="I251" s="97">
        <f t="shared" si="150"/>
        <v>10.993520618302549</v>
      </c>
      <c r="J251" s="97">
        <f t="shared" si="150"/>
        <v>10.993520618302547</v>
      </c>
      <c r="K251" s="97">
        <f t="shared" si="150"/>
        <v>10.993520618302549</v>
      </c>
      <c r="L251" s="97">
        <f t="shared" si="150"/>
        <v>10.993520618302549</v>
      </c>
      <c r="M251" s="97">
        <f t="shared" si="150"/>
        <v>10.993520618302549</v>
      </c>
      <c r="N251" s="97">
        <f t="shared" si="150"/>
        <v>10.999214011954502</v>
      </c>
      <c r="O251" s="97">
        <f t="shared" si="150"/>
        <v>11.024518987024884</v>
      </c>
      <c r="P251" s="97">
        <f t="shared" si="150"/>
        <v>10.998120729079922</v>
      </c>
      <c r="Q251" s="97">
        <f t="shared" si="150"/>
        <v>10.955619246216255</v>
      </c>
      <c r="R251" s="97">
        <f t="shared" si="150"/>
        <v>10.987043376620237</v>
      </c>
      <c r="S251" s="97">
        <f t="shared" si="150"/>
        <v>11.095925925188666</v>
      </c>
      <c r="T251" s="97">
        <f t="shared" si="150"/>
        <v>11.109446709140508</v>
      </c>
      <c r="U251" s="97">
        <f t="shared" si="150"/>
        <v>11.076624786863078</v>
      </c>
      <c r="V251" s="97">
        <f t="shared" si="150"/>
        <v>11.018806037508654</v>
      </c>
      <c r="W251" s="97">
        <f t="shared" si="150"/>
        <v>10.9469906187025</v>
      </c>
      <c r="X251" s="97">
        <f t="shared" si="150"/>
        <v>11.079024908414608</v>
      </c>
      <c r="Y251" s="97">
        <f t="shared" si="150"/>
        <v>11.225348695849046</v>
      </c>
      <c r="Z251" s="97">
        <f t="shared" si="150"/>
        <v>11.229979049009236</v>
      </c>
      <c r="AA251" s="97">
        <f t="shared" si="150"/>
        <v>11.213052900191249</v>
      </c>
      <c r="AB251" s="97">
        <f t="shared" si="150"/>
        <v>11.264619995138027</v>
      </c>
      <c r="AC251" s="97">
        <f t="shared" si="150"/>
        <v>11.310706201007234</v>
      </c>
      <c r="AD251" s="97">
        <f t="shared" si="150"/>
        <v>11.300009693170336</v>
      </c>
      <c r="AE251" s="97">
        <f t="shared" si="150"/>
        <v>11.406715199075233</v>
      </c>
      <c r="AF251" s="97">
        <f t="shared" si="150"/>
        <v>11.456800791470396</v>
      </c>
      <c r="AG251" s="97">
        <f t="shared" si="150"/>
        <v>11.570723030076866</v>
      </c>
      <c r="AH251" s="97">
        <f t="shared" si="150"/>
        <v>11.472428563912715</v>
      </c>
      <c r="AI251" s="97">
        <f t="shared" si="150"/>
        <v>11.474499350366425</v>
      </c>
      <c r="AJ251" s="97">
        <f t="shared" si="150"/>
        <v>11.420291749541873</v>
      </c>
      <c r="AK251" s="97">
        <f t="shared" si="150"/>
        <v>11.372578025566364</v>
      </c>
      <c r="AL251" s="97">
        <f t="shared" si="150"/>
        <v>11.447058672826675</v>
      </c>
      <c r="AM251" s="97">
        <f t="shared" si="150"/>
        <v>11.536104369550189</v>
      </c>
      <c r="AN251" s="97">
        <f t="shared" si="150"/>
        <v>11.47824411209983</v>
      </c>
      <c r="AO251" s="97">
        <f t="shared" si="150"/>
        <v>11.496802888687654</v>
      </c>
      <c r="AP251" s="97">
        <f t="shared" si="150"/>
        <v>11.56811061303007</v>
      </c>
      <c r="AQ251" s="97">
        <f t="shared" si="150"/>
        <v>11.568878472583195</v>
      </c>
      <c r="AR251" s="97">
        <f t="shared" si="150"/>
        <v>11.568906613547789</v>
      </c>
      <c r="AS251" s="97">
        <f t="shared" si="150"/>
        <v>11.613621784231968</v>
      </c>
      <c r="AT251" s="97">
        <f t="shared" si="150"/>
        <v>11.617874017281757</v>
      </c>
      <c r="AU251" s="97">
        <f t="shared" si="150"/>
        <v>11.652736563947409</v>
      </c>
      <c r="AV251" s="97">
        <f t="shared" si="150"/>
        <v>11.657199483726215</v>
      </c>
      <c r="AW251" s="97">
        <f t="shared" si="150"/>
        <v>11.628143782458062</v>
      </c>
      <c r="AX251" s="97">
        <f t="shared" si="150"/>
        <v>11.665653949997138</v>
      </c>
      <c r="AY251" s="97">
        <f t="shared" si="150"/>
        <v>11.646705929033836</v>
      </c>
      <c r="AZ251" s="97">
        <f t="shared" si="150"/>
        <v>11.696189222774706</v>
      </c>
      <c r="BA251" s="97">
        <f t="shared" si="150"/>
        <v>11.776669435924379</v>
      </c>
      <c r="BB251" s="97">
        <f t="shared" si="150"/>
        <v>11.820998960348565</v>
      </c>
      <c r="BC251" s="97">
        <f t="shared" si="150"/>
        <v>11.871130005748913</v>
      </c>
      <c r="BD251" s="97">
        <f t="shared" si="150"/>
        <v>11.884128259492895</v>
      </c>
      <c r="BE251" s="97">
        <f t="shared" si="150"/>
        <v>11.940819662979798</v>
      </c>
      <c r="BF251" s="97">
        <f t="shared" si="150"/>
        <v>12.010332433711133</v>
      </c>
      <c r="BG251" s="97">
        <f t="shared" si="150"/>
        <v>12.033038361289242</v>
      </c>
      <c r="BH251" s="97">
        <f t="shared" si="150"/>
        <v>12.05383350151083</v>
      </c>
      <c r="BI251" s="97">
        <f t="shared" si="150"/>
        <v>12.115712714682827</v>
      </c>
      <c r="BJ251" s="97">
        <f t="shared" si="150"/>
        <v>12.213232420920109</v>
      </c>
      <c r="BK251" s="33"/>
    </row>
    <row r="252" spans="3:63" s="19" customFormat="1" x14ac:dyDescent="0.25">
      <c r="C252" s="19" t="s">
        <v>309</v>
      </c>
      <c r="D252" s="97">
        <f>10*LOG(D258*0.83)</f>
        <v>10.678030032433497</v>
      </c>
      <c r="E252" s="97">
        <f t="shared" ref="E252:BJ252" si="151">10*LOG(E258*0.83)</f>
        <v>10.678030032433497</v>
      </c>
      <c r="F252" s="97">
        <f t="shared" si="151"/>
        <v>10.678030032433497</v>
      </c>
      <c r="G252" s="97">
        <f t="shared" si="151"/>
        <v>10.678030032433497</v>
      </c>
      <c r="H252" s="97">
        <f t="shared" si="151"/>
        <v>10.678030032433497</v>
      </c>
      <c r="I252" s="97">
        <f t="shared" si="151"/>
        <v>10.678030032433497</v>
      </c>
      <c r="J252" s="97">
        <f t="shared" si="151"/>
        <v>10.678030032433497</v>
      </c>
      <c r="K252" s="97">
        <f t="shared" si="151"/>
        <v>10.678030032433497</v>
      </c>
      <c r="L252" s="97">
        <f t="shared" si="151"/>
        <v>10.678030032433497</v>
      </c>
      <c r="M252" s="97">
        <f t="shared" si="151"/>
        <v>10.678030032433494</v>
      </c>
      <c r="N252" s="97">
        <f t="shared" si="151"/>
        <v>10.664664898143579</v>
      </c>
      <c r="O252" s="97">
        <f t="shared" si="151"/>
        <v>10.680166544744917</v>
      </c>
      <c r="P252" s="97">
        <f t="shared" si="151"/>
        <v>10.735230421731863</v>
      </c>
      <c r="Q252" s="97">
        <f t="shared" si="151"/>
        <v>10.644834588435971</v>
      </c>
      <c r="R252" s="97">
        <f t="shared" si="151"/>
        <v>10.652938255232325</v>
      </c>
      <c r="S252" s="97">
        <f t="shared" si="151"/>
        <v>10.660614832669413</v>
      </c>
      <c r="T252" s="97">
        <f t="shared" si="151"/>
        <v>10.679439482181065</v>
      </c>
      <c r="U252" s="97">
        <f t="shared" si="151"/>
        <v>10.575899327239135</v>
      </c>
      <c r="V252" s="97">
        <f t="shared" si="151"/>
        <v>10.59714510530805</v>
      </c>
      <c r="W252" s="97">
        <f t="shared" si="151"/>
        <v>10.485191171305871</v>
      </c>
      <c r="X252" s="97">
        <f t="shared" si="151"/>
        <v>10.707011617664431</v>
      </c>
      <c r="Y252" s="97">
        <f t="shared" si="151"/>
        <v>10.869598266828342</v>
      </c>
      <c r="Z252" s="97">
        <f t="shared" si="151"/>
        <v>10.724740257027833</v>
      </c>
      <c r="AA252" s="97">
        <f t="shared" si="151"/>
        <v>10.528178214074709</v>
      </c>
      <c r="AB252" s="97">
        <f t="shared" si="151"/>
        <v>10.390163729787956</v>
      </c>
      <c r="AC252" s="97">
        <f t="shared" si="151"/>
        <v>10.261384504005866</v>
      </c>
      <c r="AD252" s="97">
        <f t="shared" si="151"/>
        <v>10.018319991928205</v>
      </c>
      <c r="AE252" s="97">
        <f t="shared" si="151"/>
        <v>10.32075194946481</v>
      </c>
      <c r="AF252" s="97">
        <f t="shared" si="151"/>
        <v>10.429714827140442</v>
      </c>
      <c r="AG252" s="97">
        <f t="shared" si="151"/>
        <v>10.907800719462717</v>
      </c>
      <c r="AH252" s="97">
        <f t="shared" si="151"/>
        <v>11.319000490821473</v>
      </c>
      <c r="AI252" s="97">
        <f t="shared" si="151"/>
        <v>11.590123238923082</v>
      </c>
      <c r="AJ252" s="97">
        <f t="shared" si="151"/>
        <v>11.763671672291764</v>
      </c>
      <c r="AK252" s="97">
        <f t="shared" si="151"/>
        <v>11.995880420515075</v>
      </c>
      <c r="AL252" s="97">
        <f t="shared" si="151"/>
        <v>12.310053721242669</v>
      </c>
      <c r="AM252" s="97">
        <f t="shared" si="151"/>
        <v>12.641989392080937</v>
      </c>
      <c r="AN252" s="97">
        <f t="shared" si="151"/>
        <v>12.737270860506493</v>
      </c>
      <c r="AO252" s="97">
        <f t="shared" si="151"/>
        <v>12.895743585748376</v>
      </c>
      <c r="AP252" s="97">
        <f t="shared" si="151"/>
        <v>13.077423457640522</v>
      </c>
      <c r="AQ252" s="97">
        <f t="shared" si="151"/>
        <v>13.251959040363237</v>
      </c>
      <c r="AR252" s="97">
        <f t="shared" si="151"/>
        <v>13.355126164054703</v>
      </c>
      <c r="AS252" s="97">
        <f t="shared" si="151"/>
        <v>13.49197396720993</v>
      </c>
      <c r="AT252" s="97">
        <f t="shared" si="151"/>
        <v>13.588315863608551</v>
      </c>
      <c r="AU252" s="97">
        <f t="shared" si="151"/>
        <v>13.70378953286793</v>
      </c>
      <c r="AV252" s="97">
        <f t="shared" si="151"/>
        <v>13.823503964572621</v>
      </c>
      <c r="AW252" s="97">
        <f t="shared" si="151"/>
        <v>13.871331964538495</v>
      </c>
      <c r="AX252" s="97">
        <f t="shared" si="151"/>
        <v>14.003781068161409</v>
      </c>
      <c r="AY252" s="97">
        <f t="shared" si="151"/>
        <v>14.068419459484625</v>
      </c>
      <c r="AZ252" s="97">
        <f t="shared" si="151"/>
        <v>14.309128141091293</v>
      </c>
      <c r="BA252" s="97">
        <f t="shared" si="151"/>
        <v>14.44865180564323</v>
      </c>
      <c r="BB252" s="97">
        <f t="shared" si="151"/>
        <v>14.477446882099049</v>
      </c>
      <c r="BC252" s="97">
        <f t="shared" si="151"/>
        <v>14.617205913639085</v>
      </c>
      <c r="BD252" s="97">
        <f t="shared" si="151"/>
        <v>14.669574702845454</v>
      </c>
      <c r="BE252" s="97">
        <f t="shared" si="151"/>
        <v>14.769194410414093</v>
      </c>
      <c r="BF252" s="97">
        <f t="shared" si="151"/>
        <v>14.860822086965978</v>
      </c>
      <c r="BG252" s="97">
        <f t="shared" si="151"/>
        <v>14.877881597926248</v>
      </c>
      <c r="BH252" s="97">
        <f t="shared" si="151"/>
        <v>14.898670864041531</v>
      </c>
      <c r="BI252" s="97">
        <f t="shared" si="151"/>
        <v>14.986909373471335</v>
      </c>
      <c r="BJ252" s="97">
        <f t="shared" si="151"/>
        <v>15.094533859701167</v>
      </c>
      <c r="BK252" s="33"/>
    </row>
    <row r="253" spans="3:63" s="19" customFormat="1" x14ac:dyDescent="0.25">
      <c r="C253" s="19" t="s">
        <v>310</v>
      </c>
      <c r="D253" s="97">
        <f>9.3*LOG(D258)</f>
        <v>10.683141671065664</v>
      </c>
      <c r="E253" s="97">
        <f t="shared" ref="E253:BJ253" si="152">9.3*LOG(E258)</f>
        <v>10.683141671065664</v>
      </c>
      <c r="F253" s="97">
        <f t="shared" si="152"/>
        <v>10.683141671065664</v>
      </c>
      <c r="G253" s="97">
        <f t="shared" si="152"/>
        <v>10.683141671065664</v>
      </c>
      <c r="H253" s="97">
        <f t="shared" si="152"/>
        <v>10.683141671065664</v>
      </c>
      <c r="I253" s="97">
        <f t="shared" si="152"/>
        <v>10.683141671065664</v>
      </c>
      <c r="J253" s="97">
        <f t="shared" si="152"/>
        <v>10.683141671065664</v>
      </c>
      <c r="K253" s="97">
        <f t="shared" si="152"/>
        <v>10.683141671065664</v>
      </c>
      <c r="L253" s="97">
        <f t="shared" si="152"/>
        <v>10.683141671065664</v>
      </c>
      <c r="M253" s="97">
        <f t="shared" si="152"/>
        <v>10.683141671065664</v>
      </c>
      <c r="N253" s="97">
        <f t="shared" si="152"/>
        <v>10.670712096176041</v>
      </c>
      <c r="O253" s="97">
        <f t="shared" si="152"/>
        <v>10.685128627515287</v>
      </c>
      <c r="P253" s="97">
        <f t="shared" si="152"/>
        <v>10.736338033113146</v>
      </c>
      <c r="Q253" s="97">
        <f t="shared" si="152"/>
        <v>10.652269908147966</v>
      </c>
      <c r="R253" s="97">
        <f t="shared" si="152"/>
        <v>10.659806318268576</v>
      </c>
      <c r="S253" s="97">
        <f t="shared" si="152"/>
        <v>10.666945535285066</v>
      </c>
      <c r="T253" s="97">
        <f t="shared" si="152"/>
        <v>10.684452459330904</v>
      </c>
      <c r="U253" s="97">
        <f t="shared" si="152"/>
        <v>10.58816011523491</v>
      </c>
      <c r="V253" s="97">
        <f t="shared" si="152"/>
        <v>10.607918688839</v>
      </c>
      <c r="W253" s="97">
        <f t="shared" si="152"/>
        <v>10.503801530216975</v>
      </c>
      <c r="X253" s="97">
        <f t="shared" si="152"/>
        <v>10.710094545330435</v>
      </c>
      <c r="Y253" s="97">
        <f t="shared" si="152"/>
        <v>10.861300129052873</v>
      </c>
      <c r="Z253" s="97">
        <f t="shared" si="152"/>
        <v>10.726582179938397</v>
      </c>
      <c r="AA253" s="97">
        <f t="shared" si="152"/>
        <v>10.543779479991993</v>
      </c>
      <c r="AB253" s="97">
        <f t="shared" si="152"/>
        <v>10.415426009605312</v>
      </c>
      <c r="AC253" s="97">
        <f t="shared" si="152"/>
        <v>10.295661329627968</v>
      </c>
      <c r="AD253" s="97">
        <f t="shared" si="152"/>
        <v>10.069611333395745</v>
      </c>
      <c r="AE253" s="97">
        <f t="shared" si="152"/>
        <v>10.350873053904788</v>
      </c>
      <c r="AF253" s="97">
        <f t="shared" si="152"/>
        <v>10.452208530143123</v>
      </c>
      <c r="AG253" s="97">
        <f t="shared" si="152"/>
        <v>10.89682841000284</v>
      </c>
      <c r="AH253" s="97">
        <f t="shared" si="152"/>
        <v>11.279244197366486</v>
      </c>
      <c r="AI253" s="97">
        <f t="shared" si="152"/>
        <v>11.531388353100979</v>
      </c>
      <c r="AJ253" s="97">
        <f t="shared" si="152"/>
        <v>11.692788396133855</v>
      </c>
      <c r="AK253" s="97">
        <f t="shared" si="152"/>
        <v>11.908742531981535</v>
      </c>
      <c r="AL253" s="97">
        <f t="shared" si="152"/>
        <v>12.200923701658194</v>
      </c>
      <c r="AM253" s="97">
        <f t="shared" si="152"/>
        <v>12.509623875537784</v>
      </c>
      <c r="AN253" s="97">
        <f t="shared" si="152"/>
        <v>12.598235641173552</v>
      </c>
      <c r="AO253" s="97">
        <f t="shared" si="152"/>
        <v>12.745615275648502</v>
      </c>
      <c r="AP253" s="97">
        <f t="shared" si="152"/>
        <v>12.914577556508199</v>
      </c>
      <c r="AQ253" s="97">
        <f t="shared" si="152"/>
        <v>13.076895648440326</v>
      </c>
      <c r="AR253" s="97">
        <f t="shared" si="152"/>
        <v>13.172841073473387</v>
      </c>
      <c r="AS253" s="97">
        <f t="shared" si="152"/>
        <v>13.300109530407749</v>
      </c>
      <c r="AT253" s="97">
        <f t="shared" si="152"/>
        <v>13.389707494058465</v>
      </c>
      <c r="AU253" s="97">
        <f t="shared" si="152"/>
        <v>13.497098006469688</v>
      </c>
      <c r="AV253" s="97">
        <f t="shared" si="152"/>
        <v>13.608432427955051</v>
      </c>
      <c r="AW253" s="97">
        <f t="shared" si="152"/>
        <v>13.652912467923315</v>
      </c>
      <c r="AX253" s="97">
        <f t="shared" si="152"/>
        <v>13.776090134292623</v>
      </c>
      <c r="AY253" s="97">
        <f t="shared" si="152"/>
        <v>13.836203838223216</v>
      </c>
      <c r="AZ253" s="97">
        <f t="shared" si="152"/>
        <v>14.060062912117415</v>
      </c>
      <c r="BA253" s="97">
        <f t="shared" si="152"/>
        <v>14.189819920150718</v>
      </c>
      <c r="BB253" s="97">
        <f t="shared" si="152"/>
        <v>14.21659934125463</v>
      </c>
      <c r="BC253" s="97">
        <f t="shared" si="152"/>
        <v>14.346575240586862</v>
      </c>
      <c r="BD253" s="97">
        <f t="shared" si="152"/>
        <v>14.395278214548787</v>
      </c>
      <c r="BE253" s="97">
        <f t="shared" si="152"/>
        <v>14.487924542587619</v>
      </c>
      <c r="BF253" s="97">
        <f t="shared" si="152"/>
        <v>14.573138281780874</v>
      </c>
      <c r="BG253" s="97">
        <f t="shared" si="152"/>
        <v>14.589003626973923</v>
      </c>
      <c r="BH253" s="97">
        <f t="shared" si="152"/>
        <v>14.608337644461137</v>
      </c>
      <c r="BI253" s="97">
        <f t="shared" si="152"/>
        <v>14.690399458230855</v>
      </c>
      <c r="BJ253" s="97">
        <f t="shared" si="152"/>
        <v>14.7904902304246</v>
      </c>
      <c r="BK253" s="33"/>
    </row>
    <row r="254" spans="3:63" x14ac:dyDescent="0.25">
      <c r="C254" s="14" t="str">
        <f t="shared" ref="C254:AH254" si="153">C25</f>
        <v>petrol exergy efficiency, y = 35(1-e^-0.025x)</v>
      </c>
      <c r="D254" s="50">
        <f t="shared" si="153"/>
        <v>0.15957566228914821</v>
      </c>
      <c r="E254" s="50">
        <f t="shared" si="153"/>
        <v>0.15957566228914821</v>
      </c>
      <c r="F254" s="50">
        <f t="shared" si="153"/>
        <v>0.15957566228914821</v>
      </c>
      <c r="G254" s="50">
        <f t="shared" si="153"/>
        <v>0.15957566228914824</v>
      </c>
      <c r="H254" s="50">
        <f t="shared" si="153"/>
        <v>0.15957566228914821</v>
      </c>
      <c r="I254" s="50">
        <f t="shared" si="153"/>
        <v>0.15957566228914824</v>
      </c>
      <c r="J254" s="50">
        <f t="shared" si="153"/>
        <v>0.15957566228914821</v>
      </c>
      <c r="K254" s="50">
        <f t="shared" si="153"/>
        <v>0.15957566228914824</v>
      </c>
      <c r="L254" s="50">
        <f t="shared" si="153"/>
        <v>0.15957566228914824</v>
      </c>
      <c r="M254" s="50">
        <f t="shared" si="153"/>
        <v>0.15957566228914821</v>
      </c>
      <c r="N254" s="50">
        <f t="shared" si="153"/>
        <v>0.15977832985657828</v>
      </c>
      <c r="O254" s="50">
        <f t="shared" si="153"/>
        <v>0.16068077968357733</v>
      </c>
      <c r="P254" s="50">
        <f t="shared" si="153"/>
        <v>0.15973940156086686</v>
      </c>
      <c r="Q254" s="50">
        <f t="shared" si="153"/>
        <v>0.15823003362711793</v>
      </c>
      <c r="R254" s="50">
        <f t="shared" si="153"/>
        <v>0.15934526063216348</v>
      </c>
      <c r="S254" s="50">
        <f t="shared" si="153"/>
        <v>0.16324187261236239</v>
      </c>
      <c r="T254" s="50">
        <f t="shared" si="153"/>
        <v>0.16372919018945534</v>
      </c>
      <c r="U254" s="50">
        <f t="shared" si="153"/>
        <v>0.16254752229460565</v>
      </c>
      <c r="V254" s="50">
        <f t="shared" si="153"/>
        <v>0.16047680163058048</v>
      </c>
      <c r="W254" s="50">
        <f t="shared" si="153"/>
        <v>0.1579245544997479</v>
      </c>
      <c r="X254" s="50">
        <f t="shared" si="153"/>
        <v>0.16263378185425792</v>
      </c>
      <c r="Y254" s="50">
        <f t="shared" si="153"/>
        <v>0.16793677186192457</v>
      </c>
      <c r="Z254" s="50">
        <f t="shared" si="153"/>
        <v>0.16810597008408468</v>
      </c>
      <c r="AA254" s="50">
        <f t="shared" si="153"/>
        <v>0.16748787469921694</v>
      </c>
      <c r="AB254" s="50">
        <f t="shared" si="153"/>
        <v>0.16937441294359271</v>
      </c>
      <c r="AC254" s="50">
        <f t="shared" si="153"/>
        <v>0.17106902296461737</v>
      </c>
      <c r="AD254" s="50">
        <f t="shared" si="153"/>
        <v>0.17067499596405628</v>
      </c>
      <c r="AE254" s="50">
        <f t="shared" si="153"/>
        <v>0.17462448779488315</v>
      </c>
      <c r="AF254" s="50">
        <f t="shared" si="153"/>
        <v>0.1764923155995331</v>
      </c>
      <c r="AG254" s="50">
        <f t="shared" si="153"/>
        <v>0.18077232454272851</v>
      </c>
      <c r="AH254" s="50">
        <f t="shared" si="153"/>
        <v>0.17707688799781174</v>
      </c>
      <c r="AI254" s="50">
        <f t="shared" ref="AI254:BJ254" si="154">AI25</f>
        <v>0.17715441011566577</v>
      </c>
      <c r="AJ254" s="50">
        <f t="shared" si="154"/>
        <v>0.17512993060076679</v>
      </c>
      <c r="AK254" s="50">
        <f t="shared" si="154"/>
        <v>0.17335647742683125</v>
      </c>
      <c r="AL254" s="50">
        <f t="shared" si="154"/>
        <v>0.17612832444328919</v>
      </c>
      <c r="AM254" s="50">
        <f t="shared" si="154"/>
        <v>0.17946721307183686</v>
      </c>
      <c r="AN254" s="50">
        <f t="shared" si="154"/>
        <v>0.17729463614075647</v>
      </c>
      <c r="AO254" s="50">
        <f t="shared" si="154"/>
        <v>0.17799028305817796</v>
      </c>
      <c r="AP254" s="50">
        <f t="shared" si="154"/>
        <v>0.18067370368605196</v>
      </c>
      <c r="AQ254" s="50">
        <f t="shared" si="154"/>
        <v>0.18070268875933287</v>
      </c>
      <c r="AR254" s="50">
        <f t="shared" si="154"/>
        <v>0.1807037510567342</v>
      </c>
      <c r="AS254" s="50">
        <f t="shared" si="154"/>
        <v>0.18239484916581919</v>
      </c>
      <c r="AT254" s="50">
        <f t="shared" si="154"/>
        <v>0.1825559884459059</v>
      </c>
      <c r="AU254" s="50">
        <f t="shared" si="154"/>
        <v>0.18387917975043055</v>
      </c>
      <c r="AV254" s="50">
        <f t="shared" si="154"/>
        <v>0.18404883077895423</v>
      </c>
      <c r="AW254" s="50">
        <f t="shared" si="154"/>
        <v>0.18294539099294047</v>
      </c>
      <c r="AX254" s="50">
        <f t="shared" si="154"/>
        <v>0.18437037586967936</v>
      </c>
      <c r="AY254" s="50">
        <f t="shared" si="154"/>
        <v>0.18365002855118884</v>
      </c>
      <c r="AZ254" s="50">
        <f t="shared" si="154"/>
        <v>0.18553345091565329</v>
      </c>
      <c r="BA254" s="50">
        <f t="shared" si="154"/>
        <v>0.18861151997382652</v>
      </c>
      <c r="BB254" s="50">
        <f t="shared" si="154"/>
        <v>0.19031440343162881</v>
      </c>
      <c r="BC254" s="50">
        <f t="shared" si="154"/>
        <v>0</v>
      </c>
      <c r="BD254" s="50">
        <f t="shared" si="154"/>
        <v>0</v>
      </c>
      <c r="BE254" s="50">
        <f t="shared" si="154"/>
        <v>0</v>
      </c>
      <c r="BF254" s="50">
        <f t="shared" si="154"/>
        <v>0</v>
      </c>
      <c r="BG254" s="50">
        <f t="shared" si="154"/>
        <v>0</v>
      </c>
      <c r="BH254" s="50">
        <f t="shared" si="154"/>
        <v>0</v>
      </c>
      <c r="BI254" s="50">
        <f t="shared" si="154"/>
        <v>0</v>
      </c>
      <c r="BJ254" s="50">
        <f t="shared" si="154"/>
        <v>0</v>
      </c>
    </row>
    <row r="255" spans="3:63" x14ac:dyDescent="0.25">
      <c r="C255" s="14" t="str">
        <f t="shared" ref="C255:AH255" si="155">C26</f>
        <v>diesel exergy efficiency, y = 43.75(1-e^-0.025x)</v>
      </c>
      <c r="D255" s="50">
        <f t="shared" si="155"/>
        <v>0.11121274215320702</v>
      </c>
      <c r="E255" s="50">
        <f t="shared" si="155"/>
        <v>0.11121274215320696</v>
      </c>
      <c r="F255" s="50">
        <f t="shared" si="155"/>
        <v>0.11121274215320702</v>
      </c>
      <c r="G255" s="50">
        <f t="shared" si="155"/>
        <v>0.11121274215320696</v>
      </c>
      <c r="H255" s="50">
        <f t="shared" si="155"/>
        <v>0.11121274215320696</v>
      </c>
      <c r="I255" s="50">
        <f t="shared" si="155"/>
        <v>0.11121274215320696</v>
      </c>
      <c r="J255" s="50">
        <f t="shared" si="155"/>
        <v>0.11121274215320696</v>
      </c>
      <c r="K255" s="50">
        <f t="shared" si="155"/>
        <v>0.11121274215320696</v>
      </c>
      <c r="L255" s="50">
        <f t="shared" si="155"/>
        <v>0.11121274215320696</v>
      </c>
      <c r="M255" s="50">
        <f t="shared" si="155"/>
        <v>0.11121274215320696</v>
      </c>
      <c r="N255" s="50">
        <f t="shared" si="155"/>
        <v>0.11091855298567591</v>
      </c>
      <c r="O255" s="50">
        <f t="shared" si="155"/>
        <v>0.1112598297595818</v>
      </c>
      <c r="P255" s="50">
        <f t="shared" si="155"/>
        <v>0.11247906298805355</v>
      </c>
      <c r="Q255" s="50">
        <f t="shared" si="155"/>
        <v>0.11048323335533489</v>
      </c>
      <c r="R255" s="50">
        <f t="shared" si="155"/>
        <v>0.11066095685956194</v>
      </c>
      <c r="S255" s="50">
        <f t="shared" si="155"/>
        <v>0.11082953057573279</v>
      </c>
      <c r="T255" s="50">
        <f t="shared" si="155"/>
        <v>0.11124380384610733</v>
      </c>
      <c r="U255" s="50">
        <f t="shared" si="155"/>
        <v>0.1089808837749896</v>
      </c>
      <c r="V255" s="50">
        <f t="shared" si="155"/>
        <v>0.10944209886842129</v>
      </c>
      <c r="W255" s="50">
        <f t="shared" si="155"/>
        <v>0.10702978848780774</v>
      </c>
      <c r="X255" s="50">
        <f t="shared" si="155"/>
        <v>0.11185287687011244</v>
      </c>
      <c r="Y255" s="50">
        <f t="shared" si="155"/>
        <v>0.11550014004931991</v>
      </c>
      <c r="Z255" s="50">
        <f t="shared" si="155"/>
        <v>0.11224594778959419</v>
      </c>
      <c r="AA255" s="50">
        <f t="shared" si="155"/>
        <v>0.10795078261415936</v>
      </c>
      <c r="AB255" s="50">
        <f t="shared" si="155"/>
        <v>0.10501699320997183</v>
      </c>
      <c r="AC255" s="50">
        <f t="shared" si="155"/>
        <v>0.10233983630011806</v>
      </c>
      <c r="AD255" s="50">
        <f t="shared" si="155"/>
        <v>9.7443268647691705E-2</v>
      </c>
      <c r="AE255" s="50">
        <f t="shared" si="155"/>
        <v>0.10356681606912473</v>
      </c>
      <c r="AF255" s="50">
        <f t="shared" si="155"/>
        <v>0.10585086800312826</v>
      </c>
      <c r="AG255" s="50">
        <f t="shared" si="155"/>
        <v>0.11637100925335452</v>
      </c>
      <c r="AH255" s="50">
        <f t="shared" si="155"/>
        <v>0.12608294413231028</v>
      </c>
      <c r="AI255" s="50">
        <f t="shared" ref="AI255:BJ255" si="156">AI26</f>
        <v>0.13282839736846638</v>
      </c>
      <c r="AJ255" s="50">
        <f t="shared" si="156"/>
        <v>0.13729003632412218</v>
      </c>
      <c r="AK255" s="50">
        <f t="shared" si="156"/>
        <v>0.143435744452453</v>
      </c>
      <c r="AL255" s="50">
        <f t="shared" si="156"/>
        <v>0.15207088893372989</v>
      </c>
      <c r="AM255" s="50">
        <f t="shared" si="156"/>
        <v>0.16159089797073409</v>
      </c>
      <c r="AN255" s="50">
        <f t="shared" si="156"/>
        <v>0.16439794803510263</v>
      </c>
      <c r="AO255" s="50">
        <f t="shared" si="156"/>
        <v>0.16913905373674695</v>
      </c>
      <c r="AP255" s="50">
        <f t="shared" si="156"/>
        <v>0.17468419641627367</v>
      </c>
      <c r="AQ255" s="50">
        <f t="shared" si="156"/>
        <v>0.18011953210604217</v>
      </c>
      <c r="AR255" s="50">
        <f t="shared" si="156"/>
        <v>0.18338118355356364</v>
      </c>
      <c r="AS255" s="50">
        <f t="shared" si="156"/>
        <v>0.18776244552961463</v>
      </c>
      <c r="AT255" s="50">
        <f t="shared" si="156"/>
        <v>0.19088361211917754</v>
      </c>
      <c r="AU255" s="50">
        <f t="shared" si="156"/>
        <v>0.19466364667455832</v>
      </c>
      <c r="AV255" s="50">
        <f t="shared" si="156"/>
        <v>0.1986263667640005</v>
      </c>
      <c r="AW255" s="50">
        <f t="shared" si="156"/>
        <v>0.20022174150248401</v>
      </c>
      <c r="AX255" s="50">
        <f t="shared" si="156"/>
        <v>0.20467516740789446</v>
      </c>
      <c r="AY255" s="50">
        <f t="shared" si="156"/>
        <v>0.20686698389112135</v>
      </c>
      <c r="AZ255" s="50">
        <f t="shared" si="156"/>
        <v>0.21513059135750168</v>
      </c>
      <c r="BA255" s="50">
        <f t="shared" si="156"/>
        <v>0.2199897864503994</v>
      </c>
      <c r="BB255" s="50">
        <f t="shared" si="156"/>
        <v>0.2209986144578612</v>
      </c>
      <c r="BC255" s="50">
        <f t="shared" si="156"/>
        <v>0</v>
      </c>
      <c r="BD255" s="50">
        <f t="shared" si="156"/>
        <v>0</v>
      </c>
      <c r="BE255" s="50">
        <f t="shared" si="156"/>
        <v>0</v>
      </c>
      <c r="BF255" s="50">
        <f t="shared" si="156"/>
        <v>0</v>
      </c>
      <c r="BG255" s="50">
        <f t="shared" si="156"/>
        <v>0</v>
      </c>
      <c r="BH255" s="50">
        <f t="shared" si="156"/>
        <v>0</v>
      </c>
      <c r="BI255" s="50">
        <f t="shared" si="156"/>
        <v>0</v>
      </c>
      <c r="BJ255" s="50">
        <f t="shared" si="156"/>
        <v>0</v>
      </c>
    </row>
    <row r="256" spans="3:63" s="19" customFormat="1" x14ac:dyDescent="0.25">
      <c r="C256" s="19" t="s">
        <v>311</v>
      </c>
      <c r="D256" s="114">
        <f>(D239*D254+D240*D255)/D241</f>
        <v>0.14763239699834313</v>
      </c>
      <c r="E256" s="114">
        <f t="shared" ref="E256:BJ256" si="157">(E239*E254+E240*E255)/E241</f>
        <v>0.14737477549663267</v>
      </c>
      <c r="F256" s="114">
        <f t="shared" si="157"/>
        <v>0.14720665278984113</v>
      </c>
      <c r="G256" s="114">
        <f t="shared" si="157"/>
        <v>0.14693632282650529</v>
      </c>
      <c r="H256" s="114">
        <f t="shared" si="157"/>
        <v>0.14699474954390571</v>
      </c>
      <c r="I256" s="114">
        <f t="shared" si="157"/>
        <v>0.14712766261102131</v>
      </c>
      <c r="J256" s="114">
        <f t="shared" si="157"/>
        <v>0.14715526432209963</v>
      </c>
      <c r="K256" s="114">
        <f t="shared" si="157"/>
        <v>0.14721276536470465</v>
      </c>
      <c r="L256" s="114">
        <f t="shared" si="157"/>
        <v>0.14714253099884539</v>
      </c>
      <c r="M256" s="114">
        <f t="shared" si="157"/>
        <v>0.1470219170470678</v>
      </c>
      <c r="N256" s="114">
        <f t="shared" si="157"/>
        <v>0.1472999835144928</v>
      </c>
      <c r="O256" s="114">
        <f t="shared" si="157"/>
        <v>0.14824039505250283</v>
      </c>
      <c r="P256" s="114">
        <f t="shared" si="157"/>
        <v>0.14827057812020003</v>
      </c>
      <c r="Q256" s="114">
        <f t="shared" si="157"/>
        <v>0.1465475622730712</v>
      </c>
      <c r="R256" s="114">
        <f t="shared" si="157"/>
        <v>0.14742415452486932</v>
      </c>
      <c r="S256" s="114">
        <f t="shared" si="157"/>
        <v>0.15036117931815446</v>
      </c>
      <c r="T256" s="114">
        <f t="shared" si="157"/>
        <v>0.15095490304223652</v>
      </c>
      <c r="U256" s="114">
        <f t="shared" si="157"/>
        <v>0.14957088708385496</v>
      </c>
      <c r="V256" s="114">
        <f t="shared" si="157"/>
        <v>0.14837559578494805</v>
      </c>
      <c r="W256" s="114">
        <f t="shared" si="157"/>
        <v>0.14573275997339308</v>
      </c>
      <c r="X256" s="114">
        <f t="shared" si="157"/>
        <v>0.15099280477989488</v>
      </c>
      <c r="Y256" s="114">
        <f t="shared" si="157"/>
        <v>0.15620118045906745</v>
      </c>
      <c r="Z256" s="114">
        <f t="shared" si="157"/>
        <v>0.15555323110656968</v>
      </c>
      <c r="AA256" s="114">
        <f t="shared" si="157"/>
        <v>0.15346033732743328</v>
      </c>
      <c r="AB256" s="114">
        <f t="shared" si="157"/>
        <v>0.15353937333856799</v>
      </c>
      <c r="AC256" s="114">
        <f t="shared" si="157"/>
        <v>0.15360602548156099</v>
      </c>
      <c r="AD256" s="114">
        <f t="shared" si="157"/>
        <v>0.15132249723278485</v>
      </c>
      <c r="AE256" s="114">
        <f t="shared" si="157"/>
        <v>0.1552600375140922</v>
      </c>
      <c r="AF256" s="114">
        <f t="shared" si="157"/>
        <v>0.15645783431187546</v>
      </c>
      <c r="AG256" s="114">
        <f t="shared" si="157"/>
        <v>0.16185575659230395</v>
      </c>
      <c r="AH256" s="114">
        <f t="shared" si="157"/>
        <v>0.16170862961990468</v>
      </c>
      <c r="AI256" s="114">
        <f t="shared" si="157"/>
        <v>0.16363611561162925</v>
      </c>
      <c r="AJ256" s="114">
        <f t="shared" si="157"/>
        <v>0.16326563603009445</v>
      </c>
      <c r="AK256" s="114">
        <f t="shared" si="157"/>
        <v>0.16350738722587371</v>
      </c>
      <c r="AL256" s="114">
        <f t="shared" si="157"/>
        <v>0.16749700833758235</v>
      </c>
      <c r="AM256" s="114">
        <f t="shared" si="157"/>
        <v>0.17271189074931081</v>
      </c>
      <c r="AN256" s="114">
        <f t="shared" si="157"/>
        <v>0.17228131062597365</v>
      </c>
      <c r="AO256" s="114">
        <f t="shared" si="157"/>
        <v>0.17444457123391369</v>
      </c>
      <c r="AP256" s="114">
        <f t="shared" si="157"/>
        <v>0.17823139444533689</v>
      </c>
      <c r="AQ256" s="114">
        <f t="shared" si="157"/>
        <v>0.1804610713795789</v>
      </c>
      <c r="AR256" s="114">
        <f t="shared" si="157"/>
        <v>0.18183008634988565</v>
      </c>
      <c r="AS256" s="114">
        <f t="shared" si="157"/>
        <v>0.18471812966039275</v>
      </c>
      <c r="AT256" s="114">
        <f t="shared" si="157"/>
        <v>0.18628361331338614</v>
      </c>
      <c r="AU256" s="114">
        <f t="shared" si="157"/>
        <v>0.18894929588073026</v>
      </c>
      <c r="AV256" s="114">
        <f t="shared" si="157"/>
        <v>0.1911464502390928</v>
      </c>
      <c r="AW256" s="114">
        <f t="shared" si="157"/>
        <v>0.19170298586136666</v>
      </c>
      <c r="AX256" s="114">
        <f t="shared" si="157"/>
        <v>0.19508055161389612</v>
      </c>
      <c r="AY256" s="114">
        <f t="shared" si="157"/>
        <v>0.19630390684006505</v>
      </c>
      <c r="AZ256" s="114">
        <f t="shared" si="157"/>
        <v>0.20194351987759496</v>
      </c>
      <c r="BA256" s="114">
        <f t="shared" si="157"/>
        <v>0.20631768793228808</v>
      </c>
      <c r="BB256" s="114">
        <f t="shared" si="157"/>
        <v>0.20837792754899609</v>
      </c>
      <c r="BC256" s="114">
        <f t="shared" si="157"/>
        <v>0</v>
      </c>
      <c r="BD256" s="114">
        <f t="shared" si="157"/>
        <v>0</v>
      </c>
      <c r="BE256" s="114">
        <f t="shared" si="157"/>
        <v>0</v>
      </c>
      <c r="BF256" s="114">
        <f t="shared" si="157"/>
        <v>0</v>
      </c>
      <c r="BG256" s="114">
        <f t="shared" si="157"/>
        <v>0</v>
      </c>
      <c r="BH256" s="114">
        <f t="shared" si="157"/>
        <v>0</v>
      </c>
      <c r="BI256" s="114">
        <f t="shared" si="157"/>
        <v>0</v>
      </c>
      <c r="BJ256" s="114">
        <f t="shared" si="157"/>
        <v>0</v>
      </c>
      <c r="BK256" s="33"/>
    </row>
    <row r="257" spans="1:63" x14ac:dyDescent="0.25">
      <c r="C257" s="14" t="s">
        <v>312</v>
      </c>
      <c r="D257" s="48">
        <f t="shared" ref="D257:BJ257" si="158">(D242*1000000000/1.609)/(D239*1000000*$N$5)</f>
        <v>29.22824567507244</v>
      </c>
      <c r="E257" s="48">
        <f t="shared" si="158"/>
        <v>29.22824567507244</v>
      </c>
      <c r="F257" s="48">
        <f t="shared" si="158"/>
        <v>29.22824567507244</v>
      </c>
      <c r="G257" s="48">
        <f t="shared" si="158"/>
        <v>29.228245675072444</v>
      </c>
      <c r="H257" s="48">
        <f t="shared" si="158"/>
        <v>29.22824567507244</v>
      </c>
      <c r="I257" s="48">
        <f t="shared" si="158"/>
        <v>29.228245675072444</v>
      </c>
      <c r="J257" s="48">
        <f t="shared" si="158"/>
        <v>29.228245675072436</v>
      </c>
      <c r="K257" s="48">
        <f t="shared" si="158"/>
        <v>29.228245675072444</v>
      </c>
      <c r="L257" s="48">
        <f t="shared" si="158"/>
        <v>29.228245675072444</v>
      </c>
      <c r="M257" s="48">
        <f t="shared" si="158"/>
        <v>29.22824567507244</v>
      </c>
      <c r="N257" s="48">
        <f t="shared" si="158"/>
        <v>29.279379467256515</v>
      </c>
      <c r="O257" s="48">
        <f t="shared" si="158"/>
        <v>29.507734347706105</v>
      </c>
      <c r="P257" s="48">
        <f t="shared" si="158"/>
        <v>29.269553485457141</v>
      </c>
      <c r="Q257" s="48">
        <f t="shared" si="158"/>
        <v>28.890112487363552</v>
      </c>
      <c r="R257" s="48">
        <f t="shared" si="158"/>
        <v>29.170180527805982</v>
      </c>
      <c r="S257" s="48">
        <f t="shared" si="158"/>
        <v>30.161767647995891</v>
      </c>
      <c r="T257" s="48">
        <f t="shared" si="158"/>
        <v>30.287230393218085</v>
      </c>
      <c r="U257" s="48">
        <f t="shared" si="158"/>
        <v>29.983567511900944</v>
      </c>
      <c r="V257" s="48">
        <f t="shared" si="158"/>
        <v>29.456024903604582</v>
      </c>
      <c r="W257" s="48">
        <f t="shared" si="158"/>
        <v>28.813681360127546</v>
      </c>
      <c r="X257" s="48">
        <f t="shared" si="158"/>
        <v>30.005669481885736</v>
      </c>
      <c r="Y257" s="48">
        <f t="shared" si="158"/>
        <v>31.384351519162674</v>
      </c>
      <c r="Z257" s="48">
        <f t="shared" si="158"/>
        <v>31.42899832850647</v>
      </c>
      <c r="AA257" s="48">
        <f t="shared" si="158"/>
        <v>31.266100536070194</v>
      </c>
      <c r="AB257" s="48">
        <f t="shared" si="158"/>
        <v>31.765034597011542</v>
      </c>
      <c r="AC257" s="48">
        <f t="shared" si="158"/>
        <v>32.217672324658096</v>
      </c>
      <c r="AD257" s="48">
        <f t="shared" si="158"/>
        <v>32.112044656165828</v>
      </c>
      <c r="AE257" s="48">
        <f t="shared" si="158"/>
        <v>33.181449960970262</v>
      </c>
      <c r="AF257" s="48">
        <f t="shared" si="158"/>
        <v>33.695618995665583</v>
      </c>
      <c r="AG257" s="48">
        <f t="shared" si="158"/>
        <v>34.894989395176268</v>
      </c>
      <c r="AH257" s="48">
        <f t="shared" si="158"/>
        <v>33.857675777757755</v>
      </c>
      <c r="AI257" s="48">
        <f t="shared" si="158"/>
        <v>33.879207806072223</v>
      </c>
      <c r="AJ257" s="48">
        <f t="shared" si="158"/>
        <v>33.3200440286248</v>
      </c>
      <c r="AK257" s="48">
        <f t="shared" si="158"/>
        <v>32.835507778633051</v>
      </c>
      <c r="AL257" s="48">
        <f t="shared" si="158"/>
        <v>33.594987954573391</v>
      </c>
      <c r="AM257" s="48">
        <f t="shared" si="158"/>
        <v>34.526078153565848</v>
      </c>
      <c r="AN257" s="48">
        <f t="shared" si="158"/>
        <v>33.918180599624513</v>
      </c>
      <c r="AO257" s="48">
        <f t="shared" si="158"/>
        <v>34.111989695938583</v>
      </c>
      <c r="AP257" s="48">
        <f t="shared" si="158"/>
        <v>34.867013379961861</v>
      </c>
      <c r="AQ257" s="48">
        <f t="shared" si="158"/>
        <v>34.875233954227397</v>
      </c>
      <c r="AR257" s="48">
        <f t="shared" si="158"/>
        <v>34.875535263440192</v>
      </c>
      <c r="AS257" s="48">
        <f t="shared" si="158"/>
        <v>35.35761027644093</v>
      </c>
      <c r="AT257" s="48">
        <f t="shared" si="158"/>
        <v>35.403799206434527</v>
      </c>
      <c r="AU257" s="48">
        <f t="shared" si="158"/>
        <v>35.784768213207542</v>
      </c>
      <c r="AV257" s="48">
        <f t="shared" si="158"/>
        <v>35.833832927723648</v>
      </c>
      <c r="AW257" s="48">
        <f t="shared" si="158"/>
        <v>35.515601223399422</v>
      </c>
      <c r="AX257" s="48">
        <f t="shared" si="158"/>
        <v>35.926964650914805</v>
      </c>
      <c r="AY257" s="48">
        <f t="shared" si="158"/>
        <v>35.718574965292902</v>
      </c>
      <c r="AZ257" s="48">
        <f t="shared" si="158"/>
        <v>36.2653519321766</v>
      </c>
      <c r="BA257" s="48">
        <f t="shared" si="158"/>
        <v>37.172570299998455</v>
      </c>
      <c r="BB257" s="48">
        <f t="shared" si="158"/>
        <v>37.681934880426219</v>
      </c>
      <c r="BC257" s="48">
        <f t="shared" si="158"/>
        <v>38.266375964075898</v>
      </c>
      <c r="BD257" s="48">
        <f t="shared" si="158"/>
        <v>38.41938730057565</v>
      </c>
      <c r="BE257" s="48">
        <f t="shared" si="158"/>
        <v>39.093926165193103</v>
      </c>
      <c r="BF257" s="48">
        <f t="shared" si="158"/>
        <v>39.93720410539936</v>
      </c>
      <c r="BG257" s="48">
        <f t="shared" si="158"/>
        <v>40.216578075389599</v>
      </c>
      <c r="BH257" s="48">
        <f t="shared" si="158"/>
        <v>40.474155901507508</v>
      </c>
      <c r="BI257" s="48">
        <f t="shared" si="158"/>
        <v>41.25041878297138</v>
      </c>
      <c r="BJ257" s="48">
        <f t="shared" si="158"/>
        <v>42.504116127135845</v>
      </c>
    </row>
    <row r="258" spans="1:63" x14ac:dyDescent="0.25">
      <c r="C258" s="14" t="s">
        <v>313</v>
      </c>
      <c r="D258" s="48">
        <f t="shared" ref="D258:BJ258" si="159">(D243*1000000000/1.609)/(D240*1000000*$N$9)</f>
        <v>14.08396414811236</v>
      </c>
      <c r="E258" s="48">
        <f t="shared" si="159"/>
        <v>14.083964148112358</v>
      </c>
      <c r="F258" s="48">
        <f t="shared" si="159"/>
        <v>14.08396414811236</v>
      </c>
      <c r="G258" s="48">
        <f t="shared" si="159"/>
        <v>14.083964148112358</v>
      </c>
      <c r="H258" s="48">
        <f t="shared" si="159"/>
        <v>14.083964148112358</v>
      </c>
      <c r="I258" s="48">
        <f t="shared" si="159"/>
        <v>14.083964148112358</v>
      </c>
      <c r="J258" s="48">
        <f t="shared" si="159"/>
        <v>14.083964148112358</v>
      </c>
      <c r="K258" s="48">
        <f t="shared" si="159"/>
        <v>14.083964148112358</v>
      </c>
      <c r="L258" s="48">
        <f t="shared" si="159"/>
        <v>14.083964148112358</v>
      </c>
      <c r="M258" s="48">
        <f t="shared" si="159"/>
        <v>14.083964148112356</v>
      </c>
      <c r="N258" s="48">
        <f t="shared" si="159"/>
        <v>14.040688274771389</v>
      </c>
      <c r="O258" s="48">
        <f t="shared" si="159"/>
        <v>14.090894460790137</v>
      </c>
      <c r="P258" s="48">
        <f t="shared" si="159"/>
        <v>14.270689266155694</v>
      </c>
      <c r="Q258" s="48">
        <f t="shared" si="159"/>
        <v>13.97672326877229</v>
      </c>
      <c r="R258" s="48">
        <f t="shared" si="159"/>
        <v>14.002827317836603</v>
      </c>
      <c r="S258" s="48">
        <f t="shared" si="159"/>
        <v>14.027600565388843</v>
      </c>
      <c r="T258" s="48">
        <f t="shared" si="159"/>
        <v>14.088535668596862</v>
      </c>
      <c r="U258" s="48">
        <f t="shared" si="159"/>
        <v>13.756623150076093</v>
      </c>
      <c r="V258" s="48">
        <f t="shared" si="159"/>
        <v>13.824085721611151</v>
      </c>
      <c r="W258" s="48">
        <f t="shared" si="159"/>
        <v>13.472277654256533</v>
      </c>
      <c r="X258" s="48">
        <f t="shared" si="159"/>
        <v>14.178264349764222</v>
      </c>
      <c r="Y258" s="48">
        <f t="shared" si="159"/>
        <v>14.719116215564542</v>
      </c>
      <c r="Z258" s="48">
        <f t="shared" si="159"/>
        <v>14.236260731169866</v>
      </c>
      <c r="AA258" s="48">
        <f t="shared" si="159"/>
        <v>13.606290184786431</v>
      </c>
      <c r="AB258" s="48">
        <f t="shared" si="159"/>
        <v>13.180694089133224</v>
      </c>
      <c r="AC258" s="48">
        <f t="shared" si="159"/>
        <v>12.795591242718627</v>
      </c>
      <c r="AD258" s="48">
        <f t="shared" si="159"/>
        <v>12.099123418390183</v>
      </c>
      <c r="AE258" s="48">
        <f t="shared" si="159"/>
        <v>12.971706167798938</v>
      </c>
      <c r="AF258" s="48">
        <f t="shared" si="159"/>
        <v>13.301278610127593</v>
      </c>
      <c r="AG258" s="48">
        <f t="shared" si="159"/>
        <v>14.849163171746842</v>
      </c>
      <c r="AH258" s="48">
        <f t="shared" si="159"/>
        <v>16.323825994004149</v>
      </c>
      <c r="AI258" s="48">
        <f t="shared" si="159"/>
        <v>17.375376804094735</v>
      </c>
      <c r="AJ258" s="48">
        <f t="shared" si="159"/>
        <v>18.083774166766503</v>
      </c>
      <c r="AK258" s="48">
        <f t="shared" si="159"/>
        <v>19.076994288343791</v>
      </c>
      <c r="AL258" s="48">
        <f t="shared" si="159"/>
        <v>20.508187516144194</v>
      </c>
      <c r="AM258" s="48">
        <f t="shared" si="159"/>
        <v>22.13710611278163</v>
      </c>
      <c r="AN258" s="48">
        <f t="shared" si="159"/>
        <v>22.628147118537179</v>
      </c>
      <c r="AO258" s="48">
        <f t="shared" si="159"/>
        <v>23.469090852951364</v>
      </c>
      <c r="AP258" s="48">
        <f t="shared" si="159"/>
        <v>24.471706391018841</v>
      </c>
      <c r="AQ258" s="48">
        <f t="shared" si="159"/>
        <v>25.4752122844037</v>
      </c>
      <c r="AR258" s="48">
        <f t="shared" si="159"/>
        <v>26.087623859280075</v>
      </c>
      <c r="AS258" s="48">
        <f t="shared" si="159"/>
        <v>26.922742927302185</v>
      </c>
      <c r="AT258" s="48">
        <f t="shared" si="159"/>
        <v>27.526658437450191</v>
      </c>
      <c r="AU258" s="48">
        <f t="shared" si="159"/>
        <v>28.268376106937151</v>
      </c>
      <c r="AV258" s="48">
        <f t="shared" si="159"/>
        <v>29.058440572577794</v>
      </c>
      <c r="AW258" s="48">
        <f t="shared" si="159"/>
        <v>29.380224099671487</v>
      </c>
      <c r="AX258" s="48">
        <f t="shared" si="159"/>
        <v>30.290051688790715</v>
      </c>
      <c r="AY258" s="48">
        <f t="shared" si="159"/>
        <v>30.744246502340925</v>
      </c>
      <c r="AZ258" s="48">
        <f t="shared" si="159"/>
        <v>32.496360333741215</v>
      </c>
      <c r="BA258" s="48">
        <f t="shared" si="159"/>
        <v>33.557306003492151</v>
      </c>
      <c r="BB258" s="48">
        <f t="shared" si="159"/>
        <v>33.78054063110973</v>
      </c>
      <c r="BC258" s="48">
        <f t="shared" si="159"/>
        <v>34.88530296349132</v>
      </c>
      <c r="BD258" s="48">
        <f t="shared" si="159"/>
        <v>35.308508939074883</v>
      </c>
      <c r="BE258" s="48">
        <f t="shared" si="159"/>
        <v>36.127786076603826</v>
      </c>
      <c r="BF258" s="48">
        <f t="shared" si="159"/>
        <v>36.898109582218332</v>
      </c>
      <c r="BG258" s="48">
        <f t="shared" si="159"/>
        <v>37.043333997653249</v>
      </c>
      <c r="BH258" s="48">
        <f t="shared" si="159"/>
        <v>37.22108202621618</v>
      </c>
      <c r="BI258" s="48">
        <f t="shared" si="159"/>
        <v>37.98506246931219</v>
      </c>
      <c r="BJ258" s="48">
        <f t="shared" si="159"/>
        <v>38.938148188145348</v>
      </c>
    </row>
    <row r="259" spans="1:63" s="19" customFormat="1" x14ac:dyDescent="0.25">
      <c r="C259" s="19" t="s">
        <v>314</v>
      </c>
      <c r="D259" s="97"/>
      <c r="E259" s="97"/>
      <c r="F259" s="97"/>
      <c r="G259" s="97"/>
      <c r="H259" s="97"/>
      <c r="I259" s="97"/>
      <c r="J259" s="97"/>
      <c r="K259" s="97"/>
      <c r="L259" s="97"/>
      <c r="M259" s="97"/>
      <c r="N259" s="97"/>
      <c r="O259" s="97"/>
      <c r="P259" s="97"/>
      <c r="Q259" s="97"/>
      <c r="R259" s="97"/>
      <c r="S259" s="97"/>
      <c r="T259" s="97"/>
      <c r="U259" s="97"/>
      <c r="V259" s="97"/>
      <c r="W259" s="97"/>
      <c r="X259" s="97"/>
      <c r="Y259" s="97"/>
      <c r="Z259" s="97"/>
      <c r="AA259" s="97"/>
      <c r="AB259" s="97"/>
      <c r="AC259" s="97"/>
      <c r="AD259" s="97"/>
      <c r="AE259" s="97"/>
      <c r="AF259" s="97"/>
      <c r="AG259" s="97"/>
      <c r="AH259" s="97"/>
      <c r="AI259" s="97"/>
      <c r="AJ259" s="97"/>
      <c r="AK259" s="97"/>
      <c r="AL259" s="97"/>
      <c r="AM259" s="97"/>
      <c r="AN259" s="97"/>
      <c r="AO259" s="97"/>
      <c r="AP259" s="97"/>
      <c r="AQ259" s="97"/>
      <c r="AR259" s="97"/>
      <c r="AS259" s="97"/>
      <c r="AT259" s="97"/>
      <c r="AU259" s="97"/>
      <c r="AV259" s="97"/>
      <c r="AW259" s="97"/>
      <c r="AX259" s="97"/>
      <c r="AY259" s="97"/>
      <c r="AZ259" s="97"/>
      <c r="BA259" s="97"/>
      <c r="BB259" s="97"/>
      <c r="BC259" s="101"/>
      <c r="BK259" s="33"/>
    </row>
    <row r="260" spans="1:63" s="19" customFormat="1" x14ac:dyDescent="0.25">
      <c r="D260" s="97"/>
      <c r="E260" s="97"/>
      <c r="F260" s="97"/>
      <c r="G260" s="97"/>
      <c r="H260" s="97"/>
      <c r="I260" s="97"/>
      <c r="J260" s="97"/>
      <c r="K260" s="97"/>
      <c r="L260" s="97"/>
      <c r="M260" s="97"/>
      <c r="N260" s="97"/>
      <c r="O260" s="97"/>
      <c r="P260" s="97"/>
      <c r="Q260" s="97"/>
      <c r="R260" s="97"/>
      <c r="S260" s="97"/>
      <c r="T260" s="97"/>
      <c r="U260" s="97"/>
      <c r="V260" s="97"/>
      <c r="W260" s="97"/>
      <c r="X260" s="97"/>
      <c r="Y260" s="97"/>
      <c r="Z260" s="97"/>
      <c r="AA260" s="97"/>
      <c r="AB260" s="97"/>
      <c r="AC260" s="97"/>
      <c r="AD260" s="97"/>
      <c r="AE260" s="97"/>
      <c r="AF260" s="97"/>
      <c r="AG260" s="97"/>
      <c r="AH260" s="97"/>
      <c r="AI260" s="97"/>
      <c r="AJ260" s="97"/>
      <c r="AK260" s="97"/>
      <c r="AL260" s="97"/>
      <c r="AM260" s="97"/>
      <c r="AN260" s="97"/>
      <c r="AO260" s="97"/>
      <c r="AP260" s="97"/>
      <c r="AQ260" s="97"/>
      <c r="AR260" s="97"/>
      <c r="AS260" s="97"/>
      <c r="AT260" s="97"/>
      <c r="AU260" s="97"/>
      <c r="AV260" s="97"/>
      <c r="AW260" s="97"/>
      <c r="AX260" s="97"/>
      <c r="AY260" s="97"/>
      <c r="AZ260" s="97"/>
      <c r="BA260" s="97"/>
      <c r="BB260" s="97"/>
      <c r="BC260" s="101"/>
      <c r="BK260" s="33"/>
    </row>
    <row r="261" spans="1:63" s="19" customFormat="1" x14ac:dyDescent="0.25">
      <c r="C261" s="19" t="s">
        <v>315</v>
      </c>
      <c r="D261" s="97">
        <f>D257*0.833</f>
        <v>24.347128647335342</v>
      </c>
      <c r="E261" s="97">
        <f t="shared" ref="E261:BJ261" si="160">E257*0.833</f>
        <v>24.347128647335342</v>
      </c>
      <c r="F261" s="97">
        <f t="shared" si="160"/>
        <v>24.347128647335342</v>
      </c>
      <c r="G261" s="97">
        <f t="shared" si="160"/>
        <v>24.347128647335346</v>
      </c>
      <c r="H261" s="97">
        <f t="shared" si="160"/>
        <v>24.347128647335342</v>
      </c>
      <c r="I261" s="97">
        <f t="shared" si="160"/>
        <v>24.347128647335346</v>
      </c>
      <c r="J261" s="97">
        <f t="shared" si="160"/>
        <v>24.347128647335339</v>
      </c>
      <c r="K261" s="97">
        <f t="shared" si="160"/>
        <v>24.347128647335346</v>
      </c>
      <c r="L261" s="97">
        <f t="shared" si="160"/>
        <v>24.347128647335346</v>
      </c>
      <c r="M261" s="97">
        <f t="shared" si="160"/>
        <v>24.347128647335342</v>
      </c>
      <c r="N261" s="97">
        <f t="shared" si="160"/>
        <v>24.389723096224674</v>
      </c>
      <c r="O261" s="97">
        <f t="shared" si="160"/>
        <v>24.579942711639184</v>
      </c>
      <c r="P261" s="97">
        <f t="shared" si="160"/>
        <v>24.381538053385796</v>
      </c>
      <c r="Q261" s="97">
        <f t="shared" si="160"/>
        <v>24.065463701973837</v>
      </c>
      <c r="R261" s="97">
        <f t="shared" si="160"/>
        <v>24.298760379662383</v>
      </c>
      <c r="S261" s="97">
        <f t="shared" si="160"/>
        <v>25.124752450780576</v>
      </c>
      <c r="T261" s="97">
        <f t="shared" si="160"/>
        <v>25.229262917550663</v>
      </c>
      <c r="U261" s="97">
        <f t="shared" si="160"/>
        <v>24.976311737413486</v>
      </c>
      <c r="V261" s="97">
        <f t="shared" si="160"/>
        <v>24.536868744702616</v>
      </c>
      <c r="W261" s="97">
        <f t="shared" si="160"/>
        <v>24.001796572986244</v>
      </c>
      <c r="X261" s="97">
        <f t="shared" si="160"/>
        <v>24.994722678410817</v>
      </c>
      <c r="Y261" s="97">
        <f t="shared" si="160"/>
        <v>26.143164815462505</v>
      </c>
      <c r="Z261" s="97">
        <f t="shared" si="160"/>
        <v>26.18035560764589</v>
      </c>
      <c r="AA261" s="97">
        <f t="shared" si="160"/>
        <v>26.04466174654647</v>
      </c>
      <c r="AB261" s="97">
        <f t="shared" si="160"/>
        <v>26.460273819310615</v>
      </c>
      <c r="AC261" s="97">
        <f t="shared" si="160"/>
        <v>26.837321046440191</v>
      </c>
      <c r="AD261" s="97">
        <f t="shared" si="160"/>
        <v>26.749333198586132</v>
      </c>
      <c r="AE261" s="97">
        <f t="shared" si="160"/>
        <v>27.640147817488227</v>
      </c>
      <c r="AF261" s="97">
        <f t="shared" si="160"/>
        <v>28.068450623389431</v>
      </c>
      <c r="AG261" s="97">
        <f t="shared" si="160"/>
        <v>29.067526166181828</v>
      </c>
      <c r="AH261" s="97">
        <f t="shared" si="160"/>
        <v>28.203443922872211</v>
      </c>
      <c r="AI261" s="97">
        <f t="shared" si="160"/>
        <v>28.221380102458159</v>
      </c>
      <c r="AJ261" s="97">
        <f t="shared" si="160"/>
        <v>27.755596675844458</v>
      </c>
      <c r="AK261" s="97">
        <f t="shared" si="160"/>
        <v>27.35197797960133</v>
      </c>
      <c r="AL261" s="97">
        <f t="shared" si="160"/>
        <v>27.984624966159632</v>
      </c>
      <c r="AM261" s="97">
        <f t="shared" si="160"/>
        <v>28.760223101920349</v>
      </c>
      <c r="AN261" s="97">
        <f t="shared" si="160"/>
        <v>28.253844439487217</v>
      </c>
      <c r="AO261" s="97">
        <f t="shared" si="160"/>
        <v>28.415287416716836</v>
      </c>
      <c r="AP261" s="97">
        <f t="shared" si="160"/>
        <v>29.044222145508229</v>
      </c>
      <c r="AQ261" s="97">
        <f t="shared" si="160"/>
        <v>29.051069883871421</v>
      </c>
      <c r="AR261" s="97">
        <f t="shared" si="160"/>
        <v>29.051320874445679</v>
      </c>
      <c r="AS261" s="97">
        <f t="shared" si="160"/>
        <v>29.452889360275293</v>
      </c>
      <c r="AT261" s="97">
        <f t="shared" si="160"/>
        <v>29.491364738959959</v>
      </c>
      <c r="AU261" s="97">
        <f t="shared" si="160"/>
        <v>29.80871192160188</v>
      </c>
      <c r="AV261" s="97">
        <f t="shared" si="160"/>
        <v>29.849582828793796</v>
      </c>
      <c r="AW261" s="97">
        <f t="shared" si="160"/>
        <v>29.584495819091718</v>
      </c>
      <c r="AX261" s="97">
        <f t="shared" si="160"/>
        <v>29.927161554212031</v>
      </c>
      <c r="AY261" s="97">
        <f t="shared" si="160"/>
        <v>29.753572946088987</v>
      </c>
      <c r="AZ261" s="97">
        <f t="shared" si="160"/>
        <v>30.209038159503105</v>
      </c>
      <c r="BA261" s="97">
        <f t="shared" si="160"/>
        <v>30.964751059898713</v>
      </c>
      <c r="BB261" s="97">
        <f t="shared" si="160"/>
        <v>31.389051755395037</v>
      </c>
      <c r="BC261" s="97">
        <f t="shared" si="160"/>
        <v>31.875891178075221</v>
      </c>
      <c r="BD261" s="97">
        <f t="shared" si="160"/>
        <v>32.003349621379513</v>
      </c>
      <c r="BE261" s="97">
        <f t="shared" si="160"/>
        <v>32.565240495605856</v>
      </c>
      <c r="BF261" s="97">
        <f t="shared" si="160"/>
        <v>33.267691019797667</v>
      </c>
      <c r="BG261" s="97">
        <f t="shared" si="160"/>
        <v>33.500409536799538</v>
      </c>
      <c r="BH261" s="97">
        <f t="shared" si="160"/>
        <v>33.714971865955754</v>
      </c>
      <c r="BI261" s="97">
        <f t="shared" si="160"/>
        <v>34.361598846215159</v>
      </c>
      <c r="BJ261" s="97">
        <f t="shared" si="160"/>
        <v>35.405928733904155</v>
      </c>
      <c r="BK261" s="33"/>
    </row>
    <row r="262" spans="1:63" s="19" customFormat="1" x14ac:dyDescent="0.25">
      <c r="D262" s="97"/>
      <c r="E262" s="97"/>
      <c r="F262" s="97"/>
      <c r="G262" s="97"/>
      <c r="H262" s="97"/>
      <c r="I262" s="97"/>
      <c r="J262" s="97"/>
      <c r="K262" s="97"/>
      <c r="L262" s="97"/>
      <c r="M262" s="97"/>
      <c r="N262" s="97"/>
      <c r="O262" s="97"/>
      <c r="P262" s="97"/>
      <c r="Q262" s="97"/>
      <c r="R262" s="97"/>
      <c r="S262" s="97"/>
      <c r="T262" s="97"/>
      <c r="U262" s="97"/>
      <c r="V262" s="97"/>
      <c r="W262" s="97"/>
      <c r="X262" s="97"/>
      <c r="Y262" s="97"/>
      <c r="Z262" s="97"/>
      <c r="AA262" s="97"/>
      <c r="AB262" s="97"/>
      <c r="AC262" s="97"/>
      <c r="AD262" s="97"/>
      <c r="AE262" s="97"/>
      <c r="AF262" s="97"/>
      <c r="AG262" s="97"/>
      <c r="AH262" s="97"/>
      <c r="AI262" s="97"/>
      <c r="AJ262" s="97"/>
      <c r="AK262" s="97"/>
      <c r="AL262" s="97"/>
      <c r="AM262" s="97"/>
      <c r="AN262" s="97"/>
      <c r="AO262" s="97"/>
      <c r="AP262" s="97"/>
      <c r="AQ262" s="97"/>
      <c r="AR262" s="97"/>
      <c r="AS262" s="97"/>
      <c r="AT262" s="97"/>
      <c r="AU262" s="97"/>
      <c r="AV262" s="97"/>
      <c r="AW262" s="97"/>
      <c r="AX262" s="97"/>
      <c r="AY262" s="97"/>
      <c r="AZ262" s="97"/>
      <c r="BA262" s="97"/>
      <c r="BB262" s="97"/>
      <c r="BC262" s="97"/>
      <c r="BD262" s="97"/>
      <c r="BE262" s="97"/>
      <c r="BF262" s="97"/>
      <c r="BG262" s="97"/>
      <c r="BH262" s="97"/>
      <c r="BI262" s="97"/>
      <c r="BJ262" s="97"/>
      <c r="BK262" s="33"/>
    </row>
    <row r="263" spans="1:63" s="19" customFormat="1" x14ac:dyDescent="0.25">
      <c r="C263" s="115" t="s">
        <v>316</v>
      </c>
      <c r="D263" s="116">
        <v>13.197054801575648</v>
      </c>
      <c r="E263" s="72">
        <v>13.295086955157087</v>
      </c>
      <c r="F263" s="72">
        <v>13.393119108738526</v>
      </c>
      <c r="G263" s="72">
        <v>13.491151262319965</v>
      </c>
      <c r="H263" s="72">
        <v>13.589183415901404</v>
      </c>
      <c r="I263" s="117">
        <v>13.68721556948284</v>
      </c>
      <c r="J263" s="72">
        <v>13.628390780428564</v>
      </c>
      <c r="K263" s="72">
        <v>13.569565991374288</v>
      </c>
      <c r="L263" s="72">
        <v>13.510741202320013</v>
      </c>
      <c r="M263" s="72">
        <v>13.451916413265737</v>
      </c>
      <c r="N263" s="118">
        <v>13.393091624211458</v>
      </c>
      <c r="O263" s="103">
        <v>13.405942192706743</v>
      </c>
      <c r="P263" s="103">
        <v>13.418792761202027</v>
      </c>
      <c r="Q263" s="103">
        <v>13.431643329697312</v>
      </c>
      <c r="R263" s="103">
        <v>13.444493898192597</v>
      </c>
      <c r="S263" s="103">
        <v>13.45734446668788</v>
      </c>
      <c r="T263" s="103">
        <v>13.826593251845654</v>
      </c>
      <c r="U263" s="103">
        <v>14.195842037003429</v>
      </c>
      <c r="V263" s="103">
        <v>14.565090822161203</v>
      </c>
      <c r="W263" s="103">
        <v>14.934339607318977</v>
      </c>
      <c r="X263" s="117">
        <v>15.303588392476749</v>
      </c>
      <c r="Y263" s="103">
        <v>15.696882728057679</v>
      </c>
      <c r="Z263" s="103">
        <v>16.09017706363861</v>
      </c>
      <c r="AA263" s="103">
        <v>16.483471399219539</v>
      </c>
      <c r="AB263" s="103">
        <v>16.876765734800468</v>
      </c>
      <c r="AC263" s="117">
        <v>17.270060070381398</v>
      </c>
      <c r="AD263" s="103">
        <v>17.67184947057304</v>
      </c>
      <c r="AE263" s="103">
        <v>18.073638870764682</v>
      </c>
      <c r="AF263" s="103">
        <v>18.475428270956325</v>
      </c>
      <c r="AG263" s="103">
        <v>18.877217671147967</v>
      </c>
      <c r="AH263" s="117">
        <v>19.279007071339617</v>
      </c>
      <c r="AI263" s="117">
        <v>19.913392821192801</v>
      </c>
      <c r="AJ263" s="117">
        <v>19.988444728746977</v>
      </c>
      <c r="AK263" s="117">
        <v>20.018615279872112</v>
      </c>
      <c r="AL263" s="117">
        <v>19.904044146485482</v>
      </c>
      <c r="AM263" s="117">
        <v>19.995298550986774</v>
      </c>
      <c r="AN263" s="117">
        <v>20.047069647114174</v>
      </c>
      <c r="AO263" s="117">
        <v>20.186048676831316</v>
      </c>
      <c r="AP263" s="117">
        <v>20.625026158056269</v>
      </c>
      <c r="AQ263" s="117">
        <v>20.315369048251508</v>
      </c>
      <c r="AR263" s="117">
        <v>20.624399364619347</v>
      </c>
      <c r="AS263" s="117">
        <v>20.79656680098352</v>
      </c>
      <c r="AT263" s="117">
        <v>20.736660060709248</v>
      </c>
      <c r="AU263" s="117">
        <v>20.193017194526458</v>
      </c>
      <c r="AV263" s="117">
        <v>20.552284807884224</v>
      </c>
      <c r="AW263" s="117">
        <v>21.044466333604017</v>
      </c>
      <c r="AX263" s="117">
        <v>21.274145831973524</v>
      </c>
      <c r="AY263" s="117">
        <v>21.528463794298183</v>
      </c>
      <c r="AZ263" s="117">
        <v>22.291194577534764</v>
      </c>
      <c r="BA263" s="117">
        <v>22.893671884457859</v>
      </c>
      <c r="BB263" s="117">
        <v>22.41287587147643</v>
      </c>
      <c r="BC263" s="117"/>
      <c r="BD263" s="117"/>
      <c r="BE263" s="117"/>
      <c r="BF263" s="117"/>
      <c r="BG263" s="117"/>
      <c r="BH263" s="117"/>
      <c r="BI263" s="117"/>
      <c r="BJ263" s="117"/>
      <c r="BK263" s="33"/>
    </row>
    <row r="264" spans="1:63" s="46" customFormat="1" x14ac:dyDescent="0.25">
      <c r="A264" s="52"/>
      <c r="B264" s="52"/>
      <c r="C264" s="115" t="s">
        <v>317</v>
      </c>
      <c r="D264" s="119">
        <v>8.1010415833571173E-2</v>
      </c>
      <c r="E264" s="46">
        <v>8.1550395049725694E-2</v>
      </c>
      <c r="F264" s="52">
        <v>8.2086407284866228E-2</v>
      </c>
      <c r="G264" s="52">
        <v>8.2618510401362991E-2</v>
      </c>
      <c r="H264" s="55">
        <v>8.3146761004776124E-2</v>
      </c>
      <c r="I264" s="55">
        <v>8.367121447999247E-2</v>
      </c>
      <c r="J264" s="55">
        <v>8.335696556046672E-2</v>
      </c>
      <c r="K264" s="55">
        <v>8.3041357297363699E-2</v>
      </c>
      <c r="L264" s="55">
        <v>8.2724377879373492E-2</v>
      </c>
      <c r="M264" s="55">
        <v>8.2406015340571945E-2</v>
      </c>
      <c r="N264" s="55">
        <v>8.2086257557710082E-2</v>
      </c>
      <c r="O264" s="55">
        <v>8.2156229966719577E-2</v>
      </c>
      <c r="P264" s="55">
        <v>8.222613533421877E-2</v>
      </c>
      <c r="Q264" s="55">
        <v>8.2295973788551469E-2</v>
      </c>
      <c r="R264" s="55">
        <v>8.2365745457693235E-2</v>
      </c>
      <c r="S264" s="55">
        <v>8.2435450469252894E-2</v>
      </c>
      <c r="T264" s="52">
        <v>8.4410427873277072E-2</v>
      </c>
      <c r="U264" s="55">
        <v>8.6333351016526547E-2</v>
      </c>
      <c r="V264" s="55">
        <v>8.8206893557239263E-2</v>
      </c>
      <c r="W264" s="55">
        <v>9.0033528310542885E-2</v>
      </c>
      <c r="X264" s="55">
        <v>9.1815546874265228E-2</v>
      </c>
      <c r="Y264" s="55">
        <v>9.3666929945199526E-2</v>
      </c>
      <c r="Z264" s="55">
        <v>9.5472494765297858E-2</v>
      </c>
      <c r="AA264" s="55">
        <v>9.7234454504146209E-2</v>
      </c>
      <c r="AB264" s="55">
        <v>9.8954865750711593E-2</v>
      </c>
      <c r="AC264" s="55">
        <v>0.10063564294433185</v>
      </c>
      <c r="AD264" s="55">
        <v>0.10231365304629186</v>
      </c>
      <c r="AE264" s="55">
        <v>0.10395393731760849</v>
      </c>
      <c r="AF264" s="55">
        <v>0.10555815486631487</v>
      </c>
      <c r="AG264" s="55">
        <v>0.10712785770467832</v>
      </c>
      <c r="AH264" s="55">
        <v>0.108664499772788</v>
      </c>
      <c r="AI264" s="55">
        <v>0.11102668028735753</v>
      </c>
      <c r="AJ264" s="55">
        <v>0.11130114905959694</v>
      </c>
      <c r="AK264" s="55">
        <v>0.1114111940500023</v>
      </c>
      <c r="AL264" s="55">
        <v>0.11099241926297493</v>
      </c>
      <c r="AM264" s="55">
        <v>0.11132616247404487</v>
      </c>
      <c r="AN264" s="55">
        <v>0.11151482751584424</v>
      </c>
      <c r="AO264" s="55">
        <v>0.11201889756925659</v>
      </c>
      <c r="AP264" s="55">
        <v>0.11358855379898984</v>
      </c>
      <c r="AQ264" s="55">
        <v>0.11248482875773348</v>
      </c>
      <c r="AR264" s="55">
        <v>0.11358633647005378</v>
      </c>
      <c r="AS264" s="55">
        <v>0.11419287288180388</v>
      </c>
      <c r="AT264" s="55">
        <v>0.11398239624071162</v>
      </c>
      <c r="AU264" s="55">
        <v>0.1120440805847355</v>
      </c>
      <c r="AV264" s="55">
        <v>0.11333077486928685</v>
      </c>
      <c r="AW264" s="55">
        <v>0.11505744649932406</v>
      </c>
      <c r="AX264" s="55">
        <v>0.11584943461976704</v>
      </c>
      <c r="AY264" s="55">
        <v>0.11671646733823322</v>
      </c>
      <c r="AZ264" s="55">
        <v>0.11925667804092364</v>
      </c>
      <c r="BA264" s="55">
        <v>0.12120247274884542</v>
      </c>
      <c r="BB264" s="55">
        <v>0.11965387088148896</v>
      </c>
      <c r="BC264" s="55"/>
      <c r="BD264" s="55"/>
      <c r="BE264" s="55"/>
      <c r="BF264" s="55"/>
      <c r="BG264" s="55"/>
      <c r="BH264" s="55"/>
      <c r="BI264" s="55"/>
      <c r="BJ264" s="55"/>
      <c r="BK264" s="120"/>
    </row>
    <row r="265" spans="1:63" ht="17.25" customHeight="1" x14ac:dyDescent="0.25">
      <c r="B265" s="14" t="s">
        <v>318</v>
      </c>
    </row>
    <row r="266" spans="1:63" x14ac:dyDescent="0.25">
      <c r="B266" s="6" t="s">
        <v>319</v>
      </c>
    </row>
    <row r="268" spans="1:63" ht="15.75" x14ac:dyDescent="0.25">
      <c r="A268" s="245" t="s">
        <v>320</v>
      </c>
      <c r="B268" s="245"/>
      <c r="C268" s="245"/>
      <c r="D268" s="245"/>
      <c r="E268" s="245"/>
      <c r="F268" s="245"/>
      <c r="G268" s="245"/>
      <c r="H268" s="245"/>
      <c r="I268" s="245"/>
      <c r="J268" s="245"/>
      <c r="K268" s="245"/>
      <c r="L268" s="245"/>
      <c r="M268" s="245"/>
      <c r="N268" s="245"/>
    </row>
    <row r="269" spans="1:63" x14ac:dyDescent="0.25">
      <c r="A269" s="24" t="s">
        <v>321</v>
      </c>
      <c r="C269" s="25"/>
      <c r="D269" s="26"/>
      <c r="E269" s="25"/>
      <c r="F269" s="26"/>
      <c r="G269" s="26"/>
      <c r="H269" s="27"/>
      <c r="I269" s="25"/>
      <c r="J269" s="27"/>
      <c r="K269" s="25"/>
      <c r="L269" s="28" t="s">
        <v>322</v>
      </c>
    </row>
    <row r="270" spans="1:63" x14ac:dyDescent="0.25">
      <c r="A270" s="121"/>
      <c r="B270" s="122" t="s">
        <v>323</v>
      </c>
      <c r="C270" s="123"/>
      <c r="D270" s="124" t="s">
        <v>324</v>
      </c>
      <c r="E270" s="123"/>
      <c r="F270" s="124" t="s">
        <v>325</v>
      </c>
      <c r="G270" s="124"/>
      <c r="H270" s="125"/>
      <c r="I270" s="123"/>
      <c r="J270" s="125"/>
      <c r="K270" s="123"/>
      <c r="L270" s="125"/>
    </row>
    <row r="271" spans="1:63" x14ac:dyDescent="0.25">
      <c r="A271" s="126" t="s">
        <v>326</v>
      </c>
      <c r="B271" s="127" t="s">
        <v>327</v>
      </c>
      <c r="C271" s="128"/>
      <c r="D271" s="127" t="s">
        <v>328</v>
      </c>
      <c r="E271" s="128"/>
      <c r="F271" s="127" t="s">
        <v>328</v>
      </c>
      <c r="G271" s="128"/>
      <c r="H271" s="129" t="s">
        <v>323</v>
      </c>
      <c r="I271" s="130"/>
      <c r="J271" s="129" t="s">
        <v>324</v>
      </c>
      <c r="K271" s="130"/>
      <c r="L271" s="129" t="s">
        <v>325</v>
      </c>
    </row>
    <row r="272" spans="1:63" x14ac:dyDescent="0.25">
      <c r="A272" s="131" t="s">
        <v>329</v>
      </c>
      <c r="B272" s="132">
        <v>132</v>
      </c>
      <c r="C272" s="132"/>
      <c r="D272" s="133">
        <v>1704</v>
      </c>
      <c r="E272" s="133"/>
      <c r="F272" s="133">
        <v>21554</v>
      </c>
      <c r="G272" s="132"/>
      <c r="H272" s="134">
        <v>100</v>
      </c>
      <c r="I272" s="134"/>
      <c r="J272" s="134">
        <v>100</v>
      </c>
      <c r="K272" s="134"/>
      <c r="L272" s="134">
        <v>100</v>
      </c>
      <c r="N272" s="48">
        <f>1000*B272/D272</f>
        <v>77.464788732394368</v>
      </c>
    </row>
    <row r="273" spans="1:14" x14ac:dyDescent="0.25">
      <c r="A273" s="131" t="s">
        <v>330</v>
      </c>
      <c r="B273" s="132">
        <v>131</v>
      </c>
      <c r="C273" s="132"/>
      <c r="D273" s="133">
        <v>1645</v>
      </c>
      <c r="E273" s="133"/>
      <c r="F273" s="133">
        <v>21120</v>
      </c>
      <c r="G273" s="135"/>
      <c r="H273" s="134">
        <v>99</v>
      </c>
      <c r="I273" s="134"/>
      <c r="J273" s="134">
        <v>97</v>
      </c>
      <c r="K273" s="134"/>
      <c r="L273" s="134">
        <v>98</v>
      </c>
      <c r="N273" s="48">
        <f t="shared" ref="N273:N292" si="161">1000*B273/D273</f>
        <v>79.635258358662611</v>
      </c>
    </row>
    <row r="274" spans="1:14" x14ac:dyDescent="0.25">
      <c r="A274" s="131" t="s">
        <v>331</v>
      </c>
      <c r="B274" s="132">
        <v>125</v>
      </c>
      <c r="C274" s="132"/>
      <c r="D274" s="133">
        <v>1505</v>
      </c>
      <c r="E274" s="133"/>
      <c r="F274" s="133">
        <v>20465</v>
      </c>
      <c r="G274" s="135"/>
      <c r="H274" s="134">
        <v>94</v>
      </c>
      <c r="I274" s="134"/>
      <c r="J274" s="134">
        <v>88</v>
      </c>
      <c r="K274" s="134"/>
      <c r="L274" s="134">
        <v>95</v>
      </c>
      <c r="N274" s="48">
        <f t="shared" si="161"/>
        <v>83.056478405315616</v>
      </c>
    </row>
    <row r="275" spans="1:14" x14ac:dyDescent="0.25">
      <c r="A275" s="131" t="s">
        <v>332</v>
      </c>
      <c r="B275" s="132">
        <v>121</v>
      </c>
      <c r="C275" s="132"/>
      <c r="D275" s="133">
        <v>1463</v>
      </c>
      <c r="E275" s="133"/>
      <c r="F275" s="133">
        <v>19953</v>
      </c>
      <c r="G275" s="135"/>
      <c r="H275" s="134">
        <v>92</v>
      </c>
      <c r="I275" s="134"/>
      <c r="J275" s="134">
        <v>86</v>
      </c>
      <c r="K275" s="134"/>
      <c r="L275" s="134">
        <v>93</v>
      </c>
      <c r="N275" s="48">
        <f t="shared" si="161"/>
        <v>82.706766917293237</v>
      </c>
    </row>
    <row r="276" spans="1:14" x14ac:dyDescent="0.25">
      <c r="A276" s="131" t="s">
        <v>333</v>
      </c>
      <c r="B276" s="132">
        <v>129</v>
      </c>
      <c r="C276" s="132"/>
      <c r="D276" s="133">
        <v>1523</v>
      </c>
      <c r="E276" s="133"/>
      <c r="F276" s="133">
        <v>20584</v>
      </c>
      <c r="G276" s="135"/>
      <c r="H276" s="134">
        <v>97</v>
      </c>
      <c r="I276" s="134"/>
      <c r="J276" s="134">
        <v>89</v>
      </c>
      <c r="K276" s="134"/>
      <c r="L276" s="134">
        <v>95</v>
      </c>
      <c r="N276" s="48">
        <f t="shared" si="161"/>
        <v>84.701247537754426</v>
      </c>
    </row>
    <row r="277" spans="1:14" x14ac:dyDescent="0.25">
      <c r="A277" s="131" t="s">
        <v>334</v>
      </c>
      <c r="B277" s="132">
        <v>138</v>
      </c>
      <c r="C277" s="132"/>
      <c r="D277" s="133">
        <v>1597</v>
      </c>
      <c r="E277" s="133"/>
      <c r="F277" s="133">
        <v>22123</v>
      </c>
      <c r="G277" s="135"/>
      <c r="H277" s="134">
        <v>104</v>
      </c>
      <c r="I277" s="134"/>
      <c r="J277" s="134">
        <v>94</v>
      </c>
      <c r="K277" s="134"/>
      <c r="L277" s="134">
        <v>103</v>
      </c>
      <c r="N277" s="48">
        <f t="shared" si="161"/>
        <v>86.412022542266754</v>
      </c>
    </row>
    <row r="278" spans="1:14" x14ac:dyDescent="0.25">
      <c r="A278" s="131">
        <v>1995</v>
      </c>
      <c r="B278" s="132">
        <v>144</v>
      </c>
      <c r="C278" s="132"/>
      <c r="D278" s="133">
        <v>1609</v>
      </c>
      <c r="E278" s="133"/>
      <c r="F278" s="133">
        <v>22190</v>
      </c>
      <c r="G278" s="135"/>
      <c r="H278" s="134">
        <v>109</v>
      </c>
      <c r="I278" s="134"/>
      <c r="J278" s="134">
        <v>94</v>
      </c>
      <c r="K278" s="134"/>
      <c r="L278" s="134">
        <v>103</v>
      </c>
      <c r="N278" s="48">
        <f t="shared" si="161"/>
        <v>89.496581727781233</v>
      </c>
    </row>
    <row r="279" spans="1:14" x14ac:dyDescent="0.25">
      <c r="A279" s="131">
        <v>1996</v>
      </c>
      <c r="B279" s="132">
        <v>147</v>
      </c>
      <c r="C279" s="132"/>
      <c r="D279" s="133">
        <v>1628</v>
      </c>
      <c r="E279" s="133"/>
      <c r="F279" s="133">
        <v>22666</v>
      </c>
      <c r="G279" s="135"/>
      <c r="H279" s="134">
        <v>111</v>
      </c>
      <c r="I279" s="134"/>
      <c r="J279" s="134">
        <v>96</v>
      </c>
      <c r="K279" s="134"/>
      <c r="L279" s="134">
        <v>105</v>
      </c>
      <c r="N279" s="48">
        <f t="shared" si="161"/>
        <v>90.294840294840299</v>
      </c>
    </row>
    <row r="280" spans="1:14" x14ac:dyDescent="0.25">
      <c r="A280" s="131">
        <v>1997</v>
      </c>
      <c r="B280" s="132">
        <v>150</v>
      </c>
      <c r="C280" s="132"/>
      <c r="D280" s="133">
        <v>1643</v>
      </c>
      <c r="E280" s="133"/>
      <c r="F280" s="133">
        <v>23111</v>
      </c>
      <c r="G280" s="135"/>
      <c r="H280" s="134">
        <v>113</v>
      </c>
      <c r="I280" s="134"/>
      <c r="J280" s="134">
        <v>96</v>
      </c>
      <c r="K280" s="134"/>
      <c r="L280" s="134">
        <v>107</v>
      </c>
      <c r="N280" s="48">
        <f t="shared" si="161"/>
        <v>91.296409007912359</v>
      </c>
    </row>
    <row r="281" spans="1:14" x14ac:dyDescent="0.25">
      <c r="A281" s="131">
        <v>1998</v>
      </c>
      <c r="B281" s="132">
        <v>152</v>
      </c>
      <c r="C281" s="132"/>
      <c r="D281" s="133">
        <v>1630</v>
      </c>
      <c r="E281" s="133"/>
      <c r="F281" s="133">
        <v>23323</v>
      </c>
      <c r="G281" s="135"/>
      <c r="H281" s="134">
        <v>115</v>
      </c>
      <c r="I281" s="134"/>
      <c r="J281" s="134">
        <v>96</v>
      </c>
      <c r="K281" s="134"/>
      <c r="L281" s="134">
        <v>108</v>
      </c>
      <c r="N281" s="48">
        <f t="shared" si="161"/>
        <v>93.25153374233129</v>
      </c>
    </row>
    <row r="282" spans="1:14" x14ac:dyDescent="0.25">
      <c r="A282" s="131">
        <v>1999</v>
      </c>
      <c r="B282" s="132">
        <v>149</v>
      </c>
      <c r="C282" s="132"/>
      <c r="D282" s="133">
        <v>1567</v>
      </c>
      <c r="E282" s="133"/>
      <c r="F282" s="133">
        <v>23091</v>
      </c>
      <c r="G282" s="135"/>
      <c r="H282" s="134">
        <v>113</v>
      </c>
      <c r="I282" s="134"/>
      <c r="J282" s="134">
        <v>92</v>
      </c>
      <c r="K282" s="134"/>
      <c r="L282" s="134">
        <v>107</v>
      </c>
      <c r="N282" s="48">
        <f t="shared" si="161"/>
        <v>95.086151882578179</v>
      </c>
    </row>
    <row r="283" spans="1:14" x14ac:dyDescent="0.25">
      <c r="A283" s="131">
        <v>2000</v>
      </c>
      <c r="B283" s="132">
        <v>150</v>
      </c>
      <c r="C283" s="132"/>
      <c r="D283" s="133">
        <v>1593</v>
      </c>
      <c r="E283" s="133"/>
      <c r="F283" s="133">
        <v>22990</v>
      </c>
      <c r="G283" s="135"/>
      <c r="H283" s="134">
        <v>114</v>
      </c>
      <c r="I283" s="134"/>
      <c r="J283" s="134">
        <v>93</v>
      </c>
      <c r="K283" s="134"/>
      <c r="L283" s="134">
        <v>107</v>
      </c>
      <c r="N283" s="48">
        <f t="shared" si="161"/>
        <v>94.161958568738228</v>
      </c>
    </row>
    <row r="284" spans="1:14" x14ac:dyDescent="0.25">
      <c r="A284" s="131">
        <v>2001</v>
      </c>
      <c r="B284" s="132">
        <v>149</v>
      </c>
      <c r="C284" s="132"/>
      <c r="D284" s="133">
        <v>1581</v>
      </c>
      <c r="E284" s="133"/>
      <c r="F284" s="133">
        <v>22207</v>
      </c>
      <c r="G284" s="135"/>
      <c r="H284" s="134">
        <v>113</v>
      </c>
      <c r="I284" s="134"/>
      <c r="J284" s="134">
        <v>93</v>
      </c>
      <c r="K284" s="134"/>
      <c r="L284" s="134">
        <v>103</v>
      </c>
      <c r="N284" s="48">
        <f t="shared" si="161"/>
        <v>94.244149272612276</v>
      </c>
    </row>
    <row r="285" spans="1:14" x14ac:dyDescent="0.25">
      <c r="A285" s="131">
        <v>2002</v>
      </c>
      <c r="B285" s="132">
        <v>150</v>
      </c>
      <c r="C285" s="132"/>
      <c r="D285" s="133">
        <v>1627</v>
      </c>
      <c r="E285" s="133"/>
      <c r="F285" s="133">
        <v>22159</v>
      </c>
      <c r="G285" s="135"/>
      <c r="H285" s="134">
        <v>113</v>
      </c>
      <c r="I285" s="134"/>
      <c r="J285" s="134">
        <v>95</v>
      </c>
      <c r="K285" s="134"/>
      <c r="L285" s="134">
        <v>103</v>
      </c>
      <c r="N285" s="48">
        <f t="shared" si="161"/>
        <v>92.194222495390292</v>
      </c>
    </row>
    <row r="286" spans="1:14" x14ac:dyDescent="0.25">
      <c r="A286" s="131">
        <v>2003</v>
      </c>
      <c r="B286" s="132">
        <v>152</v>
      </c>
      <c r="C286" s="132"/>
      <c r="D286" s="133">
        <v>1643</v>
      </c>
      <c r="E286" s="133"/>
      <c r="F286" s="133">
        <v>22167</v>
      </c>
      <c r="G286" s="135"/>
      <c r="H286" s="134">
        <v>115</v>
      </c>
      <c r="I286" s="134"/>
      <c r="J286" s="134">
        <v>96</v>
      </c>
      <c r="K286" s="134"/>
      <c r="L286" s="134">
        <v>103</v>
      </c>
      <c r="N286" s="48">
        <f t="shared" si="161"/>
        <v>92.513694461351193</v>
      </c>
    </row>
    <row r="287" spans="1:14" x14ac:dyDescent="0.25">
      <c r="A287" s="131">
        <v>2004</v>
      </c>
      <c r="B287" s="132">
        <v>152</v>
      </c>
      <c r="C287" s="132"/>
      <c r="D287" s="133">
        <v>1744</v>
      </c>
      <c r="E287" s="133"/>
      <c r="F287" s="133">
        <v>22281</v>
      </c>
      <c r="G287" s="136" t="s">
        <v>335</v>
      </c>
      <c r="H287" s="134">
        <v>115</v>
      </c>
      <c r="I287" s="134"/>
      <c r="J287" s="134">
        <v>102</v>
      </c>
      <c r="K287" s="134"/>
      <c r="L287" s="134">
        <v>103</v>
      </c>
      <c r="N287" s="48">
        <f t="shared" si="161"/>
        <v>87.155963302752298</v>
      </c>
    </row>
    <row r="288" spans="1:14" x14ac:dyDescent="0.25">
      <c r="A288" s="131">
        <v>2005</v>
      </c>
      <c r="B288" s="132">
        <v>153</v>
      </c>
      <c r="C288" s="132"/>
      <c r="D288" s="133">
        <v>1746</v>
      </c>
      <c r="E288" s="133"/>
      <c r="F288" s="133">
        <v>22232</v>
      </c>
      <c r="G288" s="136" t="s">
        <v>335</v>
      </c>
      <c r="H288" s="134">
        <v>115</v>
      </c>
      <c r="I288" s="134"/>
      <c r="J288" s="134">
        <v>102</v>
      </c>
      <c r="K288" s="134"/>
      <c r="L288" s="134">
        <v>103</v>
      </c>
      <c r="N288" s="48">
        <f t="shared" si="161"/>
        <v>87.628865979381445</v>
      </c>
    </row>
    <row r="289" spans="1:14" x14ac:dyDescent="0.25">
      <c r="A289" s="137">
        <v>2006</v>
      </c>
      <c r="B289" s="132">
        <v>156</v>
      </c>
      <c r="C289" s="132"/>
      <c r="D289" s="133">
        <v>1813</v>
      </c>
      <c r="E289" s="133"/>
      <c r="F289" s="133">
        <v>22289</v>
      </c>
      <c r="G289" s="135"/>
      <c r="H289" s="134">
        <v>118</v>
      </c>
      <c r="I289" s="134"/>
      <c r="J289" s="134">
        <v>106</v>
      </c>
      <c r="K289" s="134"/>
      <c r="L289" s="134">
        <v>103</v>
      </c>
      <c r="N289" s="48">
        <f t="shared" si="161"/>
        <v>86.045228902371761</v>
      </c>
    </row>
    <row r="290" spans="1:14" x14ac:dyDescent="0.25">
      <c r="A290" s="137">
        <v>2007</v>
      </c>
      <c r="B290" s="132">
        <v>161</v>
      </c>
      <c r="C290" s="132"/>
      <c r="D290" s="133">
        <v>1869</v>
      </c>
      <c r="E290" s="133"/>
      <c r="F290" s="133">
        <v>22445</v>
      </c>
      <c r="G290" s="132"/>
      <c r="H290" s="134">
        <v>122</v>
      </c>
      <c r="I290" s="134"/>
      <c r="J290" s="134">
        <v>110</v>
      </c>
      <c r="K290" s="134"/>
      <c r="L290" s="134">
        <v>104</v>
      </c>
      <c r="N290" s="48">
        <f t="shared" si="161"/>
        <v>86.142322097378283</v>
      </c>
    </row>
    <row r="291" spans="1:14" x14ac:dyDescent="0.25">
      <c r="A291" s="137">
        <v>2008</v>
      </c>
      <c r="B291" s="132">
        <v>152</v>
      </c>
      <c r="C291" s="132"/>
      <c r="D291" s="133">
        <v>1734</v>
      </c>
      <c r="E291" s="133"/>
      <c r="F291" s="133">
        <v>21171</v>
      </c>
      <c r="G291" s="132"/>
      <c r="H291" s="134">
        <v>115</v>
      </c>
      <c r="I291" s="134"/>
      <c r="J291" s="134">
        <v>102</v>
      </c>
      <c r="K291" s="134"/>
      <c r="L291" s="134">
        <v>98</v>
      </c>
      <c r="N291" s="48">
        <f t="shared" si="161"/>
        <v>87.658592848904263</v>
      </c>
    </row>
    <row r="292" spans="1:14" x14ac:dyDescent="0.25">
      <c r="A292" s="138">
        <v>2009</v>
      </c>
      <c r="B292" s="132">
        <v>132</v>
      </c>
      <c r="C292" s="132"/>
      <c r="D292" s="133">
        <v>1422</v>
      </c>
      <c r="E292" s="133"/>
      <c r="F292" s="133">
        <v>18846</v>
      </c>
      <c r="G292" s="132"/>
      <c r="H292" s="134">
        <v>100</v>
      </c>
      <c r="I292" s="134"/>
      <c r="J292" s="134">
        <v>83</v>
      </c>
      <c r="K292" s="134"/>
      <c r="L292" s="134">
        <v>87</v>
      </c>
      <c r="N292" s="48">
        <f t="shared" si="161"/>
        <v>92.827004219409289</v>
      </c>
    </row>
    <row r="306" spans="1:12" ht="15.75" x14ac:dyDescent="0.25">
      <c r="A306" s="139" t="s">
        <v>336</v>
      </c>
      <c r="B306" s="140"/>
      <c r="C306" s="140"/>
      <c r="D306" s="140"/>
      <c r="E306" s="140"/>
      <c r="F306" s="140"/>
      <c r="G306" s="140"/>
      <c r="H306" s="140"/>
      <c r="I306" s="140"/>
      <c r="J306" s="140"/>
      <c r="K306" s="140"/>
      <c r="L306" s="140"/>
    </row>
    <row r="307" spans="1:12" x14ac:dyDescent="0.25">
      <c r="A307" s="244" t="s">
        <v>337</v>
      </c>
      <c r="B307" s="244"/>
      <c r="C307" s="244"/>
      <c r="D307" s="244"/>
      <c r="E307" s="244"/>
      <c r="F307" s="244"/>
      <c r="G307" s="244"/>
      <c r="H307" s="244"/>
      <c r="I307" s="244"/>
      <c r="J307" s="244"/>
      <c r="K307" s="244"/>
      <c r="L307" s="244"/>
    </row>
    <row r="308" spans="1:12" ht="15.75" x14ac:dyDescent="0.25">
      <c r="A308" s="141" t="s">
        <v>338</v>
      </c>
      <c r="B308" s="140"/>
      <c r="C308" s="140"/>
      <c r="D308" s="140"/>
      <c r="E308" s="140"/>
      <c r="F308" s="140"/>
      <c r="G308" s="140"/>
      <c r="H308" s="140"/>
      <c r="I308" s="140"/>
      <c r="J308" s="140"/>
      <c r="K308" s="140"/>
      <c r="L308" s="140"/>
    </row>
    <row r="309" spans="1:12" ht="15.75" x14ac:dyDescent="0.25">
      <c r="A309" s="141" t="s">
        <v>339</v>
      </c>
      <c r="B309" s="142"/>
      <c r="C309" s="142"/>
      <c r="D309" s="142"/>
      <c r="E309" s="143"/>
      <c r="F309" s="143"/>
      <c r="G309" s="143"/>
      <c r="H309" s="142"/>
      <c r="I309" s="142"/>
      <c r="J309" s="140"/>
      <c r="K309" s="140"/>
      <c r="L309" s="140"/>
    </row>
    <row r="310" spans="1:12" ht="15.75" thickBot="1" x14ac:dyDescent="0.3">
      <c r="A310" s="144"/>
      <c r="B310" s="144"/>
      <c r="C310" s="145"/>
      <c r="D310" s="145"/>
      <c r="E310" s="145"/>
      <c r="F310" s="145"/>
      <c r="G310" s="145"/>
      <c r="H310" s="146"/>
      <c r="I310" s="147" t="s">
        <v>340</v>
      </c>
      <c r="J310" s="148"/>
      <c r="K310" s="148"/>
      <c r="L310" s="148"/>
    </row>
    <row r="311" spans="1:12" x14ac:dyDescent="0.25">
      <c r="A311" s="149"/>
      <c r="B311" s="149"/>
      <c r="C311" s="150"/>
      <c r="D311" s="150"/>
      <c r="E311" s="150"/>
      <c r="F311" s="246" t="s">
        <v>341</v>
      </c>
      <c r="G311" s="246"/>
      <c r="H311" s="246"/>
      <c r="I311" s="150"/>
      <c r="J311" s="148"/>
      <c r="K311" s="148"/>
      <c r="L311" s="148"/>
    </row>
    <row r="312" spans="1:12" ht="66.75" thickBot="1" x14ac:dyDescent="0.3">
      <c r="A312" s="151"/>
      <c r="B312" s="152"/>
      <c r="C312" s="153" t="s">
        <v>342</v>
      </c>
      <c r="D312" s="153" t="s">
        <v>343</v>
      </c>
      <c r="E312" s="153" t="s">
        <v>344</v>
      </c>
      <c r="F312" s="153" t="s">
        <v>232</v>
      </c>
      <c r="G312" s="153" t="s">
        <v>233</v>
      </c>
      <c r="H312" s="152" t="s">
        <v>345</v>
      </c>
      <c r="I312" s="153" t="s">
        <v>346</v>
      </c>
      <c r="J312" s="148"/>
      <c r="K312" s="148"/>
      <c r="L312" s="148"/>
    </row>
    <row r="313" spans="1:12" x14ac:dyDescent="0.25">
      <c r="A313" s="154" t="s">
        <v>347</v>
      </c>
      <c r="B313" s="155"/>
      <c r="C313" s="156">
        <v>12.6</v>
      </c>
      <c r="D313" s="156">
        <v>4</v>
      </c>
      <c r="E313" s="156">
        <v>7.8</v>
      </c>
      <c r="F313" s="156">
        <v>1.9</v>
      </c>
      <c r="G313" s="156">
        <v>2.5</v>
      </c>
      <c r="H313" s="156">
        <v>4.5</v>
      </c>
      <c r="I313" s="157">
        <v>28.9</v>
      </c>
      <c r="J313" s="158"/>
      <c r="K313" s="158"/>
      <c r="L313" s="158"/>
    </row>
    <row r="314" spans="1:12" x14ac:dyDescent="0.25">
      <c r="A314" s="154" t="s">
        <v>348</v>
      </c>
      <c r="B314" s="155"/>
      <c r="C314" s="156">
        <v>15.9</v>
      </c>
      <c r="D314" s="156">
        <v>4.8</v>
      </c>
      <c r="E314" s="156">
        <v>7</v>
      </c>
      <c r="F314" s="156">
        <v>2.7</v>
      </c>
      <c r="G314" s="156">
        <v>2.5</v>
      </c>
      <c r="H314" s="156">
        <v>5.3</v>
      </c>
      <c r="I314" s="157">
        <v>33</v>
      </c>
      <c r="J314" s="158"/>
      <c r="K314" s="158"/>
      <c r="L314" s="158"/>
    </row>
    <row r="315" spans="1:12" x14ac:dyDescent="0.25">
      <c r="A315" s="154" t="s">
        <v>349</v>
      </c>
      <c r="B315" s="155"/>
      <c r="C315" s="156">
        <v>18.2</v>
      </c>
      <c r="D315" s="156">
        <v>5.0999999999999996</v>
      </c>
      <c r="E315" s="156">
        <v>7.3</v>
      </c>
      <c r="F315" s="156">
        <v>3.5</v>
      </c>
      <c r="G315" s="156">
        <v>2.6</v>
      </c>
      <c r="H315" s="156">
        <v>6.1</v>
      </c>
      <c r="I315" s="157">
        <v>36.700000000000003</v>
      </c>
      <c r="J315" s="158"/>
      <c r="K315" s="158"/>
      <c r="L315" s="158"/>
    </row>
    <row r="316" spans="1:12" x14ac:dyDescent="0.25">
      <c r="A316" s="154" t="s">
        <v>350</v>
      </c>
      <c r="B316" s="155"/>
      <c r="C316" s="156">
        <v>19</v>
      </c>
      <c r="D316" s="156">
        <v>5.4</v>
      </c>
      <c r="E316" s="156">
        <v>7</v>
      </c>
      <c r="F316" s="156">
        <v>3.7</v>
      </c>
      <c r="G316" s="156">
        <v>2.6</v>
      </c>
      <c r="H316" s="156">
        <v>6.3</v>
      </c>
      <c r="I316" s="157">
        <v>37.799999999999997</v>
      </c>
      <c r="J316" s="158"/>
      <c r="K316" s="158"/>
      <c r="L316" s="158"/>
    </row>
    <row r="317" spans="1:12" x14ac:dyDescent="0.25">
      <c r="A317" s="154" t="s">
        <v>351</v>
      </c>
      <c r="B317" s="155"/>
      <c r="C317" s="156">
        <v>20.8</v>
      </c>
      <c r="D317" s="156">
        <v>5.7</v>
      </c>
      <c r="E317" s="156">
        <v>7.1</v>
      </c>
      <c r="F317" s="156">
        <v>4.2</v>
      </c>
      <c r="G317" s="156">
        <v>2.6</v>
      </c>
      <c r="H317" s="156">
        <v>6.8</v>
      </c>
      <c r="I317" s="157">
        <v>40.299999999999997</v>
      </c>
      <c r="J317" s="158"/>
      <c r="K317" s="158"/>
      <c r="L317" s="158"/>
    </row>
    <row r="318" spans="1:12" x14ac:dyDescent="0.25">
      <c r="A318" s="154" t="s">
        <v>352</v>
      </c>
      <c r="B318" s="155"/>
      <c r="C318" s="156">
        <v>23.1</v>
      </c>
      <c r="D318" s="156">
        <v>5.8</v>
      </c>
      <c r="E318" s="156">
        <v>7.6</v>
      </c>
      <c r="F318" s="156">
        <v>4.3</v>
      </c>
      <c r="G318" s="156">
        <v>2.6</v>
      </c>
      <c r="H318" s="156">
        <v>6.9</v>
      </c>
      <c r="I318" s="157">
        <v>43.4</v>
      </c>
      <c r="J318" s="158"/>
      <c r="K318" s="158"/>
      <c r="L318" s="158"/>
    </row>
    <row r="319" spans="1:12" x14ac:dyDescent="0.25">
      <c r="A319" s="154" t="s">
        <v>353</v>
      </c>
      <c r="B319" s="155"/>
      <c r="C319" s="156">
        <v>26.3</v>
      </c>
      <c r="D319" s="156">
        <v>6.1</v>
      </c>
      <c r="E319" s="156">
        <v>8.1999999999999993</v>
      </c>
      <c r="F319" s="156">
        <v>4.7</v>
      </c>
      <c r="G319" s="156">
        <v>2.6</v>
      </c>
      <c r="H319" s="156">
        <v>7.3</v>
      </c>
      <c r="I319" s="157">
        <v>47.8</v>
      </c>
      <c r="J319" s="158"/>
      <c r="K319" s="158"/>
      <c r="L319" s="158"/>
    </row>
    <row r="320" spans="1:12" x14ac:dyDescent="0.25">
      <c r="A320" s="154" t="s">
        <v>354</v>
      </c>
      <c r="B320" s="155"/>
      <c r="C320" s="156">
        <v>28.7</v>
      </c>
      <c r="D320" s="156">
        <v>6.2</v>
      </c>
      <c r="E320" s="156">
        <v>8.1</v>
      </c>
      <c r="F320" s="156">
        <v>4.5999999999999996</v>
      </c>
      <c r="G320" s="156">
        <v>2.6</v>
      </c>
      <c r="H320" s="156">
        <v>7.2</v>
      </c>
      <c r="I320" s="157">
        <v>50.2</v>
      </c>
      <c r="J320" s="158"/>
      <c r="K320" s="158"/>
      <c r="L320" s="158"/>
    </row>
    <row r="321" spans="1:12" x14ac:dyDescent="0.25">
      <c r="A321" s="154" t="s">
        <v>355</v>
      </c>
      <c r="B321" s="155"/>
      <c r="C321" s="156">
        <v>28.1</v>
      </c>
      <c r="D321" s="156">
        <v>6.4</v>
      </c>
      <c r="E321" s="156">
        <v>7.8</v>
      </c>
      <c r="F321" s="156">
        <v>5.2</v>
      </c>
      <c r="G321" s="156">
        <v>2.5</v>
      </c>
      <c r="H321" s="156">
        <v>7.6</v>
      </c>
      <c r="I321" s="157">
        <v>49.9</v>
      </c>
      <c r="J321" s="158"/>
      <c r="K321" s="158"/>
      <c r="L321" s="158"/>
    </row>
    <row r="322" spans="1:12" x14ac:dyDescent="0.25">
      <c r="A322" s="154" t="s">
        <v>356</v>
      </c>
      <c r="B322" s="155"/>
      <c r="C322" s="156">
        <v>34.4</v>
      </c>
      <c r="D322" s="156">
        <v>7.4</v>
      </c>
      <c r="E322" s="156">
        <v>8.4</v>
      </c>
      <c r="F322" s="156">
        <v>5.2</v>
      </c>
      <c r="G322" s="156">
        <v>2.4</v>
      </c>
      <c r="H322" s="156">
        <v>7.6</v>
      </c>
      <c r="I322" s="157">
        <v>57.8</v>
      </c>
      <c r="J322" s="158"/>
      <c r="K322" s="158"/>
      <c r="L322" s="158"/>
    </row>
    <row r="323" spans="1:12" x14ac:dyDescent="0.25">
      <c r="A323" s="154" t="s">
        <v>357</v>
      </c>
      <c r="B323" s="155"/>
      <c r="C323" s="156">
        <v>38.6</v>
      </c>
      <c r="D323" s="156">
        <v>8.5</v>
      </c>
      <c r="E323" s="156">
        <v>9.1</v>
      </c>
      <c r="F323" s="156">
        <v>6.1</v>
      </c>
      <c r="G323" s="156">
        <v>2.5</v>
      </c>
      <c r="H323" s="156">
        <v>8.6</v>
      </c>
      <c r="I323" s="157">
        <v>64.8</v>
      </c>
      <c r="J323" s="158"/>
      <c r="K323" s="158"/>
      <c r="L323" s="158"/>
    </row>
    <row r="324" spans="1:12" x14ac:dyDescent="0.25">
      <c r="A324" s="154" t="s">
        <v>358</v>
      </c>
      <c r="B324" s="155"/>
      <c r="C324" s="156">
        <v>42.3</v>
      </c>
      <c r="D324" s="156">
        <v>9.3000000000000007</v>
      </c>
      <c r="E324" s="156">
        <v>9.5</v>
      </c>
      <c r="F324" s="156">
        <v>6.2</v>
      </c>
      <c r="G324" s="156">
        <v>2.4</v>
      </c>
      <c r="H324" s="156">
        <v>8.6</v>
      </c>
      <c r="I324" s="157">
        <v>69.7</v>
      </c>
      <c r="J324" s="158"/>
      <c r="K324" s="158"/>
      <c r="L324" s="158"/>
    </row>
    <row r="325" spans="1:12" x14ac:dyDescent="0.25">
      <c r="A325" s="154" t="s">
        <v>359</v>
      </c>
      <c r="B325" s="155"/>
      <c r="C325" s="156">
        <v>47.8</v>
      </c>
      <c r="D325" s="156">
        <v>10.199999999999999</v>
      </c>
      <c r="E325" s="156">
        <v>9.6</v>
      </c>
      <c r="F325" s="156">
        <v>6</v>
      </c>
      <c r="G325" s="156">
        <v>2.5</v>
      </c>
      <c r="H325" s="156">
        <v>8.5</v>
      </c>
      <c r="I325" s="157">
        <v>76.099999999999994</v>
      </c>
      <c r="J325" s="158"/>
      <c r="K325" s="158"/>
      <c r="L325" s="158"/>
    </row>
    <row r="326" spans="1:12" x14ac:dyDescent="0.25">
      <c r="A326" s="154" t="s">
        <v>360</v>
      </c>
      <c r="B326" s="155"/>
      <c r="C326" s="156">
        <v>52</v>
      </c>
      <c r="D326" s="156">
        <v>10.3</v>
      </c>
      <c r="E326" s="156">
        <v>9.6</v>
      </c>
      <c r="F326" s="156">
        <v>5.4</v>
      </c>
      <c r="G326" s="156">
        <v>2.5</v>
      </c>
      <c r="H326" s="156">
        <v>7.9</v>
      </c>
      <c r="I326" s="157">
        <v>79.8</v>
      </c>
      <c r="J326" s="158"/>
      <c r="K326" s="158"/>
      <c r="L326" s="158"/>
    </row>
    <row r="327" spans="1:12" x14ac:dyDescent="0.25">
      <c r="A327" s="154" t="s">
        <v>361</v>
      </c>
      <c r="B327" s="155"/>
      <c r="C327" s="156">
        <v>56.8</v>
      </c>
      <c r="D327" s="156">
        <v>10.9</v>
      </c>
      <c r="E327" s="156">
        <v>9.8000000000000007</v>
      </c>
      <c r="F327" s="156">
        <v>4.7</v>
      </c>
      <c r="G327" s="156">
        <v>2.5</v>
      </c>
      <c r="H327" s="156">
        <v>7.2</v>
      </c>
      <c r="I327" s="157">
        <v>84.7</v>
      </c>
      <c r="J327" s="158"/>
      <c r="K327" s="158"/>
      <c r="L327" s="158"/>
    </row>
    <row r="328" spans="1:12" x14ac:dyDescent="0.25">
      <c r="A328" s="154" t="s">
        <v>362</v>
      </c>
      <c r="B328" s="155"/>
      <c r="C328" s="156">
        <v>65.7</v>
      </c>
      <c r="D328" s="156">
        <v>11</v>
      </c>
      <c r="E328" s="156">
        <v>10.8</v>
      </c>
      <c r="F328" s="156">
        <v>4.7</v>
      </c>
      <c r="G328" s="156">
        <v>2.5</v>
      </c>
      <c r="H328" s="156">
        <v>7.1</v>
      </c>
      <c r="I328" s="157">
        <v>94.6</v>
      </c>
      <c r="J328" s="158"/>
      <c r="K328" s="158"/>
      <c r="L328" s="158"/>
    </row>
    <row r="329" spans="1:12" x14ac:dyDescent="0.25">
      <c r="A329" s="154" t="s">
        <v>363</v>
      </c>
      <c r="B329" s="155"/>
      <c r="C329" s="156">
        <v>72</v>
      </c>
      <c r="D329" s="156">
        <v>11.8</v>
      </c>
      <c r="E329" s="156">
        <v>10.7</v>
      </c>
      <c r="F329" s="156">
        <v>4.2</v>
      </c>
      <c r="G329" s="156">
        <v>2.4</v>
      </c>
      <c r="H329" s="156">
        <v>6.6</v>
      </c>
      <c r="I329" s="157">
        <v>101.1</v>
      </c>
      <c r="J329" s="158"/>
      <c r="K329" s="158"/>
      <c r="L329" s="158"/>
    </row>
    <row r="330" spans="1:12" x14ac:dyDescent="0.25">
      <c r="A330" s="154" t="s">
        <v>364</v>
      </c>
      <c r="B330" s="155"/>
      <c r="C330" s="156">
        <v>78.599999999999994</v>
      </c>
      <c r="D330" s="156">
        <v>11.8</v>
      </c>
      <c r="E330" s="156">
        <v>10.9</v>
      </c>
      <c r="F330" s="156">
        <v>3.7</v>
      </c>
      <c r="G330" s="156">
        <v>2.4</v>
      </c>
      <c r="H330" s="156">
        <v>6.2</v>
      </c>
      <c r="I330" s="157">
        <v>107.4</v>
      </c>
      <c r="J330" s="158"/>
      <c r="K330" s="158"/>
      <c r="L330" s="158"/>
    </row>
    <row r="331" spans="1:12" x14ac:dyDescent="0.25">
      <c r="A331" s="154" t="s">
        <v>365</v>
      </c>
      <c r="B331" s="155"/>
      <c r="C331" s="156">
        <v>83.9</v>
      </c>
      <c r="D331" s="156">
        <v>11.6</v>
      </c>
      <c r="E331" s="156">
        <v>10.7</v>
      </c>
      <c r="F331" s="156">
        <v>3.2</v>
      </c>
      <c r="G331" s="156">
        <v>2.4</v>
      </c>
      <c r="H331" s="156">
        <v>5.6</v>
      </c>
      <c r="I331" s="157">
        <v>111.8</v>
      </c>
      <c r="J331" s="158"/>
      <c r="K331" s="158"/>
      <c r="L331" s="158"/>
    </row>
    <row r="332" spans="1:12" x14ac:dyDescent="0.25">
      <c r="A332" s="154" t="s">
        <v>366</v>
      </c>
      <c r="B332" s="155"/>
      <c r="C332" s="156">
        <v>88.7</v>
      </c>
      <c r="D332" s="156">
        <v>11.7</v>
      </c>
      <c r="E332" s="156">
        <v>10.9</v>
      </c>
      <c r="F332" s="156">
        <v>2.9</v>
      </c>
      <c r="G332" s="156">
        <v>2.4</v>
      </c>
      <c r="H332" s="156">
        <v>5.3</v>
      </c>
      <c r="I332" s="157">
        <v>116.6</v>
      </c>
      <c r="J332" s="158"/>
      <c r="K332" s="158"/>
      <c r="L332" s="158"/>
    </row>
    <row r="333" spans="1:12" x14ac:dyDescent="0.25">
      <c r="A333" s="154" t="s">
        <v>367</v>
      </c>
      <c r="B333" s="155"/>
      <c r="C333" s="156">
        <v>91.9</v>
      </c>
      <c r="D333" s="156">
        <v>12</v>
      </c>
      <c r="E333" s="156">
        <v>10.8</v>
      </c>
      <c r="F333" s="156">
        <v>2.6</v>
      </c>
      <c r="G333" s="156">
        <v>2.4</v>
      </c>
      <c r="H333" s="156">
        <v>5</v>
      </c>
      <c r="I333" s="157">
        <v>119.7</v>
      </c>
      <c r="J333" s="158"/>
      <c r="K333" s="158"/>
      <c r="L333" s="158"/>
    </row>
    <row r="334" spans="1:12" x14ac:dyDescent="0.25">
      <c r="A334" s="154" t="s">
        <v>368</v>
      </c>
      <c r="B334" s="155"/>
      <c r="C334" s="156">
        <v>96.3</v>
      </c>
      <c r="D334" s="156">
        <v>12.6</v>
      </c>
      <c r="E334" s="156">
        <v>10.9</v>
      </c>
      <c r="F334" s="156">
        <v>2.5</v>
      </c>
      <c r="G334" s="156">
        <v>2.2000000000000002</v>
      </c>
      <c r="H334" s="156">
        <v>4.7</v>
      </c>
      <c r="I334" s="157">
        <v>124.6</v>
      </c>
      <c r="J334" s="158"/>
      <c r="K334" s="158"/>
      <c r="L334" s="158"/>
    </row>
    <row r="335" spans="1:12" x14ac:dyDescent="0.25">
      <c r="A335" s="154" t="s">
        <v>369</v>
      </c>
      <c r="B335" s="155"/>
      <c r="C335" s="156">
        <v>102.6</v>
      </c>
      <c r="D335" s="156">
        <v>13.2</v>
      </c>
      <c r="E335" s="156">
        <v>11.2</v>
      </c>
      <c r="F335" s="156">
        <v>2.4</v>
      </c>
      <c r="G335" s="156">
        <v>2.2000000000000002</v>
      </c>
      <c r="H335" s="156">
        <v>4.7</v>
      </c>
      <c r="I335" s="157">
        <v>131.69999999999999</v>
      </c>
      <c r="J335" s="158"/>
      <c r="K335" s="158"/>
      <c r="L335" s="158"/>
    </row>
    <row r="336" spans="1:12" x14ac:dyDescent="0.25">
      <c r="A336" s="154" t="s">
        <v>370</v>
      </c>
      <c r="B336" s="155"/>
      <c r="C336" s="156">
        <v>108.6</v>
      </c>
      <c r="D336" s="156">
        <v>13.8</v>
      </c>
      <c r="E336" s="156">
        <v>11.4</v>
      </c>
      <c r="F336" s="156">
        <v>2.2999999999999998</v>
      </c>
      <c r="G336" s="156">
        <v>2.2000000000000002</v>
      </c>
      <c r="H336" s="156">
        <v>4.5</v>
      </c>
      <c r="I336" s="157">
        <v>138.30000000000001</v>
      </c>
      <c r="J336" s="158"/>
      <c r="K336" s="158"/>
      <c r="L336" s="158"/>
    </row>
    <row r="337" spans="1:12" x14ac:dyDescent="0.25">
      <c r="A337" s="154" t="s">
        <v>371</v>
      </c>
      <c r="B337" s="155"/>
      <c r="C337" s="156">
        <v>114.3</v>
      </c>
      <c r="D337" s="156">
        <v>14.5</v>
      </c>
      <c r="E337" s="156">
        <v>12</v>
      </c>
      <c r="F337" s="156">
        <v>2.4</v>
      </c>
      <c r="G337" s="156">
        <v>2.2000000000000002</v>
      </c>
      <c r="H337" s="156">
        <v>4.5999999999999996</v>
      </c>
      <c r="I337" s="157">
        <v>145.4</v>
      </c>
      <c r="J337" s="158"/>
      <c r="K337" s="158"/>
      <c r="L337" s="158"/>
    </row>
    <row r="338" spans="1:12" x14ac:dyDescent="0.25">
      <c r="A338" s="154" t="s">
        <v>372</v>
      </c>
      <c r="B338" s="155"/>
      <c r="C338" s="156">
        <v>111.8</v>
      </c>
      <c r="D338" s="156">
        <v>14.7</v>
      </c>
      <c r="E338" s="156">
        <v>11.6</v>
      </c>
      <c r="F338" s="156">
        <v>2.6</v>
      </c>
      <c r="G338" s="156">
        <v>2.1</v>
      </c>
      <c r="H338" s="156">
        <v>4.7</v>
      </c>
      <c r="I338" s="157">
        <v>142.69999999999999</v>
      </c>
      <c r="J338" s="158"/>
      <c r="K338" s="158"/>
      <c r="L338" s="158"/>
    </row>
    <row r="339" spans="1:12" x14ac:dyDescent="0.25">
      <c r="A339" s="154" t="s">
        <v>373</v>
      </c>
      <c r="B339" s="155"/>
      <c r="C339" s="156">
        <v>112.8</v>
      </c>
      <c r="D339" s="156">
        <v>14.6</v>
      </c>
      <c r="E339" s="156">
        <v>11.4</v>
      </c>
      <c r="F339" s="156">
        <v>3.2</v>
      </c>
      <c r="G339" s="156">
        <v>2</v>
      </c>
      <c r="H339" s="156">
        <v>5.2</v>
      </c>
      <c r="I339" s="157">
        <v>144</v>
      </c>
      <c r="J339" s="158"/>
      <c r="K339" s="158"/>
      <c r="L339" s="158"/>
    </row>
    <row r="340" spans="1:12" x14ac:dyDescent="0.25">
      <c r="A340" s="154" t="s">
        <v>374</v>
      </c>
      <c r="B340" s="155"/>
      <c r="C340" s="156">
        <v>118.3</v>
      </c>
      <c r="D340" s="156">
        <v>15</v>
      </c>
      <c r="E340" s="156">
        <v>11.9</v>
      </c>
      <c r="F340" s="156">
        <v>3.9</v>
      </c>
      <c r="G340" s="156">
        <v>2.1</v>
      </c>
      <c r="H340" s="156">
        <v>6</v>
      </c>
      <c r="I340" s="157">
        <v>151.19999999999999</v>
      </c>
      <c r="J340" s="158"/>
      <c r="K340" s="158"/>
      <c r="L340" s="158"/>
    </row>
    <row r="341" spans="1:12" x14ac:dyDescent="0.25">
      <c r="A341" s="154" t="s">
        <v>375</v>
      </c>
      <c r="B341" s="155"/>
      <c r="C341" s="156">
        <v>120.6</v>
      </c>
      <c r="D341" s="156">
        <v>15.2</v>
      </c>
      <c r="E341" s="156">
        <v>11.7</v>
      </c>
      <c r="F341" s="156">
        <v>3.9</v>
      </c>
      <c r="G341" s="156">
        <v>2</v>
      </c>
      <c r="H341" s="156">
        <v>5.8</v>
      </c>
      <c r="I341" s="157">
        <v>153.4</v>
      </c>
      <c r="J341" s="158"/>
      <c r="K341" s="158"/>
      <c r="L341" s="158"/>
    </row>
    <row r="342" spans="1:12" x14ac:dyDescent="0.25">
      <c r="A342" s="154" t="s">
        <v>376</v>
      </c>
      <c r="B342" s="155"/>
      <c r="C342" s="156">
        <v>125.8</v>
      </c>
      <c r="D342" s="156">
        <v>15.7</v>
      </c>
      <c r="E342" s="156">
        <v>12.1</v>
      </c>
      <c r="F342" s="156">
        <v>3.8</v>
      </c>
      <c r="G342" s="156">
        <v>2.1</v>
      </c>
      <c r="H342" s="156">
        <v>5.8</v>
      </c>
      <c r="I342" s="157">
        <v>159.4</v>
      </c>
      <c r="J342" s="158"/>
      <c r="K342" s="158"/>
      <c r="L342" s="158"/>
    </row>
    <row r="343" spans="1:12" x14ac:dyDescent="0.25">
      <c r="A343" s="154" t="s">
        <v>377</v>
      </c>
      <c r="B343" s="155"/>
      <c r="C343" s="156">
        <v>125.2</v>
      </c>
      <c r="D343" s="156">
        <v>15.6</v>
      </c>
      <c r="E343" s="156">
        <v>12.2</v>
      </c>
      <c r="F343" s="156">
        <v>4</v>
      </c>
      <c r="G343" s="156">
        <v>2.1</v>
      </c>
      <c r="H343" s="156">
        <v>6</v>
      </c>
      <c r="I343" s="157">
        <v>159</v>
      </c>
      <c r="J343" s="158"/>
      <c r="K343" s="158"/>
      <c r="L343" s="158"/>
    </row>
    <row r="344" spans="1:12" x14ac:dyDescent="0.25">
      <c r="A344" s="154" t="s">
        <v>378</v>
      </c>
      <c r="B344" s="155"/>
      <c r="C344" s="156">
        <v>133.6</v>
      </c>
      <c r="D344" s="156">
        <v>16.2</v>
      </c>
      <c r="E344" s="156">
        <v>12.2</v>
      </c>
      <c r="F344" s="156">
        <v>4.8</v>
      </c>
      <c r="G344" s="156">
        <v>2.2000000000000002</v>
      </c>
      <c r="H344" s="156">
        <v>7</v>
      </c>
      <c r="I344" s="157">
        <v>169</v>
      </c>
      <c r="J344" s="158"/>
      <c r="K344" s="158"/>
      <c r="L344" s="158"/>
    </row>
    <row r="345" spans="1:12" x14ac:dyDescent="0.25">
      <c r="A345" s="154" t="s">
        <v>379</v>
      </c>
      <c r="B345" s="155"/>
      <c r="C345" s="156">
        <v>136.4</v>
      </c>
      <c r="D345" s="156">
        <v>16.3</v>
      </c>
      <c r="E345" s="156">
        <v>11.7</v>
      </c>
      <c r="F345" s="156">
        <v>5.5</v>
      </c>
      <c r="G345" s="156">
        <v>2.2000000000000002</v>
      </c>
      <c r="H345" s="156">
        <v>7.7</v>
      </c>
      <c r="I345" s="157">
        <v>172.1</v>
      </c>
      <c r="J345" s="158"/>
      <c r="K345" s="158"/>
      <c r="L345" s="158"/>
    </row>
    <row r="346" spans="1:12" x14ac:dyDescent="0.25">
      <c r="A346" s="154" t="s">
        <v>380</v>
      </c>
      <c r="B346" s="155"/>
      <c r="C346" s="156">
        <v>141.19999999999999</v>
      </c>
      <c r="D346" s="156">
        <v>16.2</v>
      </c>
      <c r="E346" s="156">
        <v>11.4</v>
      </c>
      <c r="F346" s="156">
        <v>5.7</v>
      </c>
      <c r="G346" s="156">
        <v>2.2000000000000002</v>
      </c>
      <c r="H346" s="156">
        <v>7.9</v>
      </c>
      <c r="I346" s="157">
        <v>176.7</v>
      </c>
      <c r="J346" s="158"/>
      <c r="K346" s="158"/>
      <c r="L346" s="158"/>
    </row>
    <row r="347" spans="1:12" x14ac:dyDescent="0.25">
      <c r="A347" s="154" t="s">
        <v>381</v>
      </c>
      <c r="B347" s="155"/>
      <c r="C347" s="156">
        <v>143.69999999999999</v>
      </c>
      <c r="D347" s="156">
        <v>16.2</v>
      </c>
      <c r="E347" s="156">
        <v>11.7</v>
      </c>
      <c r="F347" s="156">
        <v>5.2</v>
      </c>
      <c r="G347" s="156">
        <v>2.2999999999999998</v>
      </c>
      <c r="H347" s="156">
        <v>7.5</v>
      </c>
      <c r="I347" s="157">
        <v>179</v>
      </c>
      <c r="J347" s="158"/>
      <c r="K347" s="158"/>
      <c r="L347" s="158"/>
    </row>
    <row r="348" spans="1:12" x14ac:dyDescent="0.25">
      <c r="A348" s="154" t="s">
        <v>382</v>
      </c>
      <c r="B348" s="155"/>
      <c r="C348" s="156">
        <v>151.6</v>
      </c>
      <c r="D348" s="156">
        <v>17.100000000000001</v>
      </c>
      <c r="E348" s="156">
        <v>12.2</v>
      </c>
      <c r="F348" s="156">
        <v>5</v>
      </c>
      <c r="G348" s="156">
        <v>2.4</v>
      </c>
      <c r="H348" s="156">
        <v>7.5</v>
      </c>
      <c r="I348" s="157">
        <v>188.3</v>
      </c>
      <c r="J348" s="158"/>
      <c r="K348" s="158"/>
      <c r="L348" s="158"/>
    </row>
    <row r="349" spans="1:12" x14ac:dyDescent="0.25">
      <c r="A349" s="154" t="s">
        <v>383</v>
      </c>
      <c r="B349" s="155"/>
      <c r="C349" s="156">
        <v>155.69999999999999</v>
      </c>
      <c r="D349" s="156">
        <v>17.8</v>
      </c>
      <c r="E349" s="156">
        <v>12.2</v>
      </c>
      <c r="F349" s="156">
        <v>4.5999999999999996</v>
      </c>
      <c r="G349" s="156">
        <v>2.2999999999999998</v>
      </c>
      <c r="H349" s="156">
        <v>6.9</v>
      </c>
      <c r="I349" s="157">
        <v>192.5</v>
      </c>
      <c r="J349" s="158"/>
      <c r="K349" s="158"/>
      <c r="L349" s="158"/>
    </row>
    <row r="350" spans="1:12" x14ac:dyDescent="0.25">
      <c r="A350" s="154" t="s">
        <v>384</v>
      </c>
      <c r="B350" s="155"/>
      <c r="C350" s="156">
        <v>164.3</v>
      </c>
      <c r="D350" s="156">
        <v>18.600000000000001</v>
      </c>
      <c r="E350" s="156">
        <v>12.5</v>
      </c>
      <c r="F350" s="156">
        <v>4.4000000000000004</v>
      </c>
      <c r="G350" s="156">
        <v>2.2999999999999998</v>
      </c>
      <c r="H350" s="156">
        <v>6.7</v>
      </c>
      <c r="I350" s="157">
        <v>202.1</v>
      </c>
      <c r="J350" s="158"/>
      <c r="K350" s="158"/>
      <c r="L350" s="158"/>
    </row>
    <row r="351" spans="1:12" x14ac:dyDescent="0.25">
      <c r="A351" s="154" t="s">
        <v>385</v>
      </c>
      <c r="B351" s="155"/>
      <c r="C351" s="156">
        <v>176.8</v>
      </c>
      <c r="D351" s="156">
        <v>20.3</v>
      </c>
      <c r="E351" s="156">
        <v>13.9</v>
      </c>
      <c r="F351" s="156">
        <v>4.2</v>
      </c>
      <c r="G351" s="156">
        <v>2.5</v>
      </c>
      <c r="H351" s="156">
        <v>6.7</v>
      </c>
      <c r="I351" s="157">
        <v>217.7</v>
      </c>
      <c r="J351" s="158"/>
      <c r="K351" s="158"/>
      <c r="L351" s="158"/>
    </row>
    <row r="352" spans="1:12" x14ac:dyDescent="0.25">
      <c r="A352" s="154" t="s">
        <v>386</v>
      </c>
      <c r="B352" s="155"/>
      <c r="C352" s="156">
        <v>189.8</v>
      </c>
      <c r="D352" s="156">
        <v>22.5</v>
      </c>
      <c r="E352" s="156">
        <v>14.8</v>
      </c>
      <c r="F352" s="156">
        <v>3.7</v>
      </c>
      <c r="G352" s="156">
        <v>2.7</v>
      </c>
      <c r="H352" s="156">
        <v>6.4</v>
      </c>
      <c r="I352" s="157">
        <v>233.4</v>
      </c>
      <c r="J352" s="158"/>
      <c r="K352" s="158"/>
      <c r="L352" s="158"/>
    </row>
    <row r="353" spans="1:12" x14ac:dyDescent="0.25">
      <c r="A353" s="154" t="s">
        <v>329</v>
      </c>
      <c r="B353" s="155"/>
      <c r="C353" s="156">
        <v>205.9</v>
      </c>
      <c r="D353" s="156">
        <v>24.7</v>
      </c>
      <c r="E353" s="156">
        <v>15.8</v>
      </c>
      <c r="F353" s="156">
        <v>3.7</v>
      </c>
      <c r="G353" s="156">
        <v>2.8</v>
      </c>
      <c r="H353" s="156">
        <v>6.5</v>
      </c>
      <c r="I353" s="157">
        <v>252.8</v>
      </c>
      <c r="J353" s="158"/>
      <c r="K353" s="158"/>
      <c r="L353" s="158"/>
    </row>
    <row r="354" spans="1:12" x14ac:dyDescent="0.25">
      <c r="A354" s="154" t="s">
        <v>330</v>
      </c>
      <c r="B354" s="155"/>
      <c r="C354" s="156">
        <v>208.7</v>
      </c>
      <c r="D354" s="156">
        <v>24.8</v>
      </c>
      <c r="E354" s="156">
        <v>15.5</v>
      </c>
      <c r="F354" s="156">
        <v>3.5</v>
      </c>
      <c r="G354" s="156">
        <v>2.9</v>
      </c>
      <c r="H354" s="156">
        <v>6.3</v>
      </c>
      <c r="I354" s="157">
        <v>255.3</v>
      </c>
      <c r="J354" s="158"/>
      <c r="K354" s="158"/>
      <c r="L354" s="158"/>
    </row>
    <row r="355" spans="1:12" x14ac:dyDescent="0.25">
      <c r="A355" s="154" t="s">
        <v>331</v>
      </c>
      <c r="B355" s="155"/>
      <c r="C355" s="156">
        <v>208.3</v>
      </c>
      <c r="D355" s="156">
        <v>25.9</v>
      </c>
      <c r="E355" s="156">
        <v>15.2</v>
      </c>
      <c r="F355" s="156">
        <v>3.4</v>
      </c>
      <c r="G355" s="156">
        <v>3</v>
      </c>
      <c r="H355" s="156">
        <v>6.3</v>
      </c>
      <c r="I355" s="157">
        <v>255.8</v>
      </c>
      <c r="J355" s="158"/>
      <c r="K355" s="158"/>
      <c r="L355" s="158"/>
    </row>
    <row r="356" spans="1:12" x14ac:dyDescent="0.25">
      <c r="A356" s="159" t="s">
        <v>332</v>
      </c>
      <c r="B356" s="160"/>
      <c r="C356" s="156">
        <v>210</v>
      </c>
      <c r="D356" s="156">
        <v>25.6</v>
      </c>
      <c r="E356" s="156">
        <v>14.8</v>
      </c>
      <c r="F356" s="156">
        <v>2.8</v>
      </c>
      <c r="G356" s="156">
        <v>2.9</v>
      </c>
      <c r="H356" s="156">
        <v>5.7</v>
      </c>
      <c r="I356" s="157">
        <v>256.10000000000002</v>
      </c>
      <c r="J356" s="158"/>
      <c r="K356" s="158"/>
      <c r="L356" s="158"/>
    </row>
    <row r="357" spans="1:12" ht="18.75" x14ac:dyDescent="0.25">
      <c r="A357" s="154">
        <v>1993</v>
      </c>
      <c r="B357" s="161">
        <v>4</v>
      </c>
      <c r="C357" s="156">
        <v>210.1</v>
      </c>
      <c r="D357" s="156">
        <v>25.8</v>
      </c>
      <c r="E357" s="156">
        <v>15.1</v>
      </c>
      <c r="F357" s="156">
        <v>2.2999999999999998</v>
      </c>
      <c r="G357" s="156">
        <v>2.9</v>
      </c>
      <c r="H357" s="156">
        <v>5.2</v>
      </c>
      <c r="I357" s="157">
        <v>256.2</v>
      </c>
      <c r="J357" s="158"/>
      <c r="K357" s="158"/>
      <c r="L357" s="158"/>
    </row>
    <row r="358" spans="1:12" x14ac:dyDescent="0.25">
      <c r="A358" s="154" t="s">
        <v>334</v>
      </c>
      <c r="B358" s="155"/>
      <c r="C358" s="156">
        <v>214.4</v>
      </c>
      <c r="D358" s="156">
        <v>26.9</v>
      </c>
      <c r="E358" s="156">
        <v>15.4</v>
      </c>
      <c r="F358" s="156">
        <v>2.2999999999999998</v>
      </c>
      <c r="G358" s="156">
        <v>2.9</v>
      </c>
      <c r="H358" s="156">
        <v>5.2</v>
      </c>
      <c r="I358" s="157">
        <v>261.89999999999998</v>
      </c>
      <c r="J358" s="158"/>
      <c r="K358" s="158"/>
      <c r="L358" s="158"/>
    </row>
    <row r="359" spans="1:12" x14ac:dyDescent="0.25">
      <c r="A359" s="154" t="s">
        <v>387</v>
      </c>
      <c r="B359" s="155"/>
      <c r="C359" s="156">
        <v>218.2</v>
      </c>
      <c r="D359" s="156">
        <v>27.7</v>
      </c>
      <c r="E359" s="156">
        <v>15.8</v>
      </c>
      <c r="F359" s="156">
        <v>2.2999999999999998</v>
      </c>
      <c r="G359" s="156">
        <v>3</v>
      </c>
      <c r="H359" s="156">
        <v>5.4</v>
      </c>
      <c r="I359" s="157">
        <v>267</v>
      </c>
      <c r="J359" s="158"/>
      <c r="K359" s="158"/>
      <c r="L359" s="158"/>
    </row>
    <row r="360" spans="1:12" x14ac:dyDescent="0.25">
      <c r="A360" s="154" t="s">
        <v>388</v>
      </c>
      <c r="B360" s="155"/>
      <c r="C360" s="156">
        <v>223.6</v>
      </c>
      <c r="D360" s="156">
        <v>28.7</v>
      </c>
      <c r="E360" s="156">
        <v>16.3</v>
      </c>
      <c r="F360" s="156">
        <v>2.2999999999999998</v>
      </c>
      <c r="G360" s="156">
        <v>3.1</v>
      </c>
      <c r="H360" s="156">
        <v>5.5</v>
      </c>
      <c r="I360" s="157">
        <v>274.10000000000002</v>
      </c>
      <c r="J360" s="158"/>
      <c r="K360" s="158"/>
      <c r="L360" s="158"/>
    </row>
    <row r="361" spans="1:12" x14ac:dyDescent="0.25">
      <c r="A361" s="154" t="s">
        <v>389</v>
      </c>
      <c r="B361" s="155"/>
      <c r="C361" s="156">
        <v>227.3</v>
      </c>
      <c r="D361" s="156">
        <v>30.2</v>
      </c>
      <c r="E361" s="156">
        <v>16.7</v>
      </c>
      <c r="F361" s="156">
        <v>2.5</v>
      </c>
      <c r="G361" s="156">
        <v>3.2</v>
      </c>
      <c r="H361" s="156">
        <v>5.7</v>
      </c>
      <c r="I361" s="157">
        <v>279.8</v>
      </c>
      <c r="J361" s="158"/>
      <c r="K361" s="158"/>
      <c r="L361" s="158"/>
    </row>
    <row r="362" spans="1:12" x14ac:dyDescent="0.25">
      <c r="A362" s="154" t="s">
        <v>390</v>
      </c>
      <c r="B362" s="155"/>
      <c r="C362" s="156">
        <v>230.3</v>
      </c>
      <c r="D362" s="156">
        <v>31.6</v>
      </c>
      <c r="E362" s="156">
        <v>17.2</v>
      </c>
      <c r="F362" s="156">
        <v>2.6</v>
      </c>
      <c r="G362" s="156">
        <v>3.3</v>
      </c>
      <c r="H362" s="156">
        <v>5.8</v>
      </c>
      <c r="I362" s="157">
        <v>284.89999999999998</v>
      </c>
      <c r="J362" s="158"/>
      <c r="K362" s="158"/>
      <c r="L362" s="158"/>
    </row>
    <row r="363" spans="1:12" x14ac:dyDescent="0.25">
      <c r="A363" s="154" t="s">
        <v>391</v>
      </c>
      <c r="B363" s="155"/>
      <c r="C363" s="156">
        <v>234.5</v>
      </c>
      <c r="D363" s="156">
        <v>32.1</v>
      </c>
      <c r="E363" s="156">
        <v>17.5</v>
      </c>
      <c r="F363" s="156">
        <v>2.8</v>
      </c>
      <c r="G363" s="156">
        <v>3.3</v>
      </c>
      <c r="H363" s="156">
        <v>6.1</v>
      </c>
      <c r="I363" s="157">
        <v>290.2</v>
      </c>
      <c r="J363" s="158"/>
      <c r="K363" s="158"/>
      <c r="L363" s="158"/>
    </row>
    <row r="364" spans="1:12" x14ac:dyDescent="0.25">
      <c r="A364" s="154" t="s">
        <v>392</v>
      </c>
      <c r="B364" s="155"/>
      <c r="C364" s="156">
        <v>233.7</v>
      </c>
      <c r="D364" s="156">
        <v>32.4</v>
      </c>
      <c r="E364" s="156">
        <v>17.5</v>
      </c>
      <c r="F364" s="156">
        <v>2.8</v>
      </c>
      <c r="G364" s="156">
        <v>3.2</v>
      </c>
      <c r="H364" s="156">
        <v>6</v>
      </c>
      <c r="I364" s="157">
        <v>289.7</v>
      </c>
      <c r="J364" s="158"/>
      <c r="K364" s="158"/>
      <c r="L364" s="158"/>
    </row>
    <row r="365" spans="1:12" x14ac:dyDescent="0.25">
      <c r="A365" s="154" t="s">
        <v>393</v>
      </c>
      <c r="B365" s="155"/>
      <c r="C365" s="156">
        <v>236.9</v>
      </c>
      <c r="D365" s="156">
        <v>33.200000000000003</v>
      </c>
      <c r="E365" s="156">
        <v>17.399999999999999</v>
      </c>
      <c r="F365" s="156">
        <v>3</v>
      </c>
      <c r="G365" s="156">
        <v>3.2</v>
      </c>
      <c r="H365" s="156">
        <v>6.2</v>
      </c>
      <c r="I365" s="157">
        <v>293.7</v>
      </c>
      <c r="J365" s="158"/>
      <c r="K365" s="158"/>
      <c r="L365" s="158"/>
    </row>
    <row r="366" spans="1:12" x14ac:dyDescent="0.25">
      <c r="A366" s="154" t="s">
        <v>394</v>
      </c>
      <c r="B366" s="155"/>
      <c r="C366" s="156">
        <v>242.7</v>
      </c>
      <c r="D366" s="156">
        <v>34</v>
      </c>
      <c r="E366" s="156">
        <v>17.600000000000001</v>
      </c>
      <c r="F366" s="156">
        <v>3.1</v>
      </c>
      <c r="G366" s="156">
        <v>3.2</v>
      </c>
      <c r="H366" s="156">
        <v>6.3</v>
      </c>
      <c r="I366" s="157">
        <v>300.60000000000002</v>
      </c>
      <c r="J366" s="158"/>
      <c r="K366" s="158"/>
      <c r="L366" s="158"/>
    </row>
    <row r="367" spans="1:12" x14ac:dyDescent="0.25">
      <c r="A367" s="154" t="s">
        <v>395</v>
      </c>
      <c r="B367" s="155"/>
      <c r="C367" s="156">
        <v>242.3</v>
      </c>
      <c r="D367" s="156">
        <v>35.700000000000003</v>
      </c>
      <c r="E367" s="156">
        <v>17.7</v>
      </c>
      <c r="F367" s="156">
        <v>3.4</v>
      </c>
      <c r="G367" s="156">
        <v>3.3</v>
      </c>
      <c r="H367" s="156">
        <v>6.8</v>
      </c>
      <c r="I367" s="157">
        <v>302.39999999999998</v>
      </c>
      <c r="J367" s="158"/>
      <c r="K367" s="158"/>
      <c r="L367" s="158"/>
    </row>
    <row r="368" spans="1:12" x14ac:dyDescent="0.25">
      <c r="A368" s="154" t="s">
        <v>396</v>
      </c>
      <c r="B368" s="155"/>
      <c r="C368" s="156">
        <v>245</v>
      </c>
      <c r="D368" s="156">
        <v>37.4</v>
      </c>
      <c r="E368" s="156">
        <v>18.2</v>
      </c>
      <c r="F368" s="156">
        <v>3.2</v>
      </c>
      <c r="G368" s="156">
        <v>3.2</v>
      </c>
      <c r="H368" s="156">
        <v>6.4</v>
      </c>
      <c r="I368" s="157">
        <v>306.89999999999998</v>
      </c>
      <c r="J368" s="158"/>
      <c r="K368" s="158"/>
      <c r="L368" s="158"/>
    </row>
    <row r="369" spans="1:12" x14ac:dyDescent="0.25">
      <c r="A369" s="154" t="s">
        <v>397</v>
      </c>
      <c r="B369" s="155"/>
      <c r="C369" s="156">
        <v>244</v>
      </c>
      <c r="D369" s="156">
        <v>38.4</v>
      </c>
      <c r="E369" s="156">
        <v>18</v>
      </c>
      <c r="F369" s="156">
        <v>3.3</v>
      </c>
      <c r="G369" s="156">
        <v>3.2</v>
      </c>
      <c r="H369" s="156">
        <v>6.5</v>
      </c>
      <c r="I369" s="157">
        <v>306.89999999999998</v>
      </c>
      <c r="J369" s="158"/>
      <c r="K369" s="158"/>
      <c r="L369" s="158"/>
    </row>
    <row r="370" spans="1:12" x14ac:dyDescent="0.25">
      <c r="A370" s="154" t="s">
        <v>398</v>
      </c>
      <c r="B370" s="155"/>
      <c r="C370" s="156">
        <v>246.9</v>
      </c>
      <c r="D370" s="156">
        <v>39.9</v>
      </c>
      <c r="E370" s="156">
        <v>18</v>
      </c>
      <c r="F370" s="156">
        <v>3.2</v>
      </c>
      <c r="G370" s="156">
        <v>3.3</v>
      </c>
      <c r="H370" s="156">
        <v>6.5</v>
      </c>
      <c r="I370" s="157">
        <v>311.39999999999998</v>
      </c>
      <c r="J370" s="158"/>
      <c r="K370" s="158"/>
      <c r="L370" s="158"/>
    </row>
    <row r="371" spans="1:12" x14ac:dyDescent="0.25">
      <c r="A371" s="154" t="s">
        <v>399</v>
      </c>
      <c r="B371" s="155"/>
      <c r="C371" s="156">
        <v>247.3</v>
      </c>
      <c r="D371" s="156">
        <v>41.9</v>
      </c>
      <c r="E371" s="156">
        <v>18.2</v>
      </c>
      <c r="F371" s="156">
        <v>3.4</v>
      </c>
      <c r="G371" s="156">
        <v>3.4</v>
      </c>
      <c r="H371" s="156">
        <v>6.8</v>
      </c>
      <c r="I371" s="157">
        <v>314.10000000000002</v>
      </c>
      <c r="J371" s="158"/>
      <c r="K371" s="158"/>
      <c r="L371" s="158"/>
    </row>
    <row r="372" spans="1:12" x14ac:dyDescent="0.25">
      <c r="A372" s="154" t="s">
        <v>400</v>
      </c>
      <c r="B372" s="155"/>
      <c r="C372" s="156">
        <v>245.4</v>
      </c>
      <c r="D372" s="156">
        <v>41.6</v>
      </c>
      <c r="E372" s="156">
        <v>17.8</v>
      </c>
      <c r="F372" s="156">
        <v>3.1</v>
      </c>
      <c r="G372" s="156">
        <v>3.1</v>
      </c>
      <c r="H372" s="156">
        <v>6.3</v>
      </c>
      <c r="I372" s="157">
        <v>311</v>
      </c>
      <c r="J372" s="158"/>
      <c r="K372" s="158"/>
      <c r="L372" s="158"/>
    </row>
    <row r="373" spans="1:12" x14ac:dyDescent="0.25">
      <c r="A373" s="154" t="s">
        <v>401</v>
      </c>
      <c r="B373" s="155"/>
      <c r="C373" s="156">
        <v>244.8</v>
      </c>
      <c r="D373" s="156">
        <v>40.700000000000003</v>
      </c>
      <c r="E373" s="156">
        <v>16.3</v>
      </c>
      <c r="F373" s="156">
        <v>3.2</v>
      </c>
      <c r="G373" s="156">
        <v>3.1</v>
      </c>
      <c r="H373" s="156">
        <v>6.3</v>
      </c>
      <c r="I373" s="157">
        <v>308.10000000000002</v>
      </c>
      <c r="J373" s="158"/>
      <c r="K373" s="158"/>
      <c r="L373" s="158"/>
    </row>
    <row r="374" spans="1:12" ht="17.25" x14ac:dyDescent="0.25">
      <c r="A374" s="154">
        <v>2010</v>
      </c>
      <c r="B374" s="162" t="s">
        <v>335</v>
      </c>
      <c r="C374" s="156">
        <v>241.9</v>
      </c>
      <c r="D374" s="156">
        <v>41.4</v>
      </c>
      <c r="E374" s="156">
        <v>16.399999999999999</v>
      </c>
      <c r="F374" s="156">
        <v>2.9</v>
      </c>
      <c r="G374" s="156">
        <v>3.2</v>
      </c>
      <c r="H374" s="156">
        <v>6.1</v>
      </c>
      <c r="I374" s="157">
        <v>305.8</v>
      </c>
      <c r="J374" s="158"/>
      <c r="K374" s="158"/>
      <c r="L374" s="158"/>
    </row>
    <row r="375" spans="1:12" ht="17.25" x14ac:dyDescent="0.25">
      <c r="A375" s="154">
        <v>2011</v>
      </c>
      <c r="B375" s="162" t="s">
        <v>335</v>
      </c>
      <c r="C375" s="156">
        <v>244.3</v>
      </c>
      <c r="D375" s="156">
        <v>42</v>
      </c>
      <c r="E375" s="156">
        <v>16</v>
      </c>
      <c r="F375" s="156">
        <v>2.9</v>
      </c>
      <c r="G375" s="156">
        <v>3</v>
      </c>
      <c r="H375" s="156">
        <v>5.9</v>
      </c>
      <c r="I375" s="157">
        <v>308.2</v>
      </c>
      <c r="J375" s="158"/>
      <c r="K375" s="158"/>
      <c r="L375" s="158"/>
    </row>
    <row r="376" spans="1:12" ht="17.25" x14ac:dyDescent="0.25">
      <c r="A376" s="163">
        <v>2012</v>
      </c>
      <c r="B376" s="162" t="s">
        <v>335</v>
      </c>
      <c r="C376" s="156">
        <v>245.5</v>
      </c>
      <c r="D376" s="156">
        <v>42.2</v>
      </c>
      <c r="E376" s="156">
        <v>15.6</v>
      </c>
      <c r="F376" s="156">
        <v>2.9</v>
      </c>
      <c r="G376" s="156">
        <v>2.8</v>
      </c>
      <c r="H376" s="156">
        <v>5.7</v>
      </c>
      <c r="I376" s="157">
        <v>309</v>
      </c>
      <c r="J376" s="158"/>
      <c r="K376" s="158"/>
      <c r="L376" s="158"/>
    </row>
    <row r="377" spans="1:12" ht="17.25" x14ac:dyDescent="0.25">
      <c r="A377" s="163">
        <v>2013</v>
      </c>
      <c r="B377" s="162" t="s">
        <v>335</v>
      </c>
      <c r="C377" s="156">
        <v>246.6</v>
      </c>
      <c r="D377" s="156">
        <v>43.8</v>
      </c>
      <c r="E377" s="156">
        <v>15.8</v>
      </c>
      <c r="F377" s="156">
        <v>2.8</v>
      </c>
      <c r="G377" s="156">
        <v>2.9</v>
      </c>
      <c r="H377" s="156">
        <v>5.7</v>
      </c>
      <c r="I377" s="157">
        <v>311.89999999999998</v>
      </c>
      <c r="J377" s="158"/>
      <c r="K377" s="158"/>
      <c r="L377" s="158"/>
    </row>
    <row r="378" spans="1:12" ht="17.25" x14ac:dyDescent="0.25">
      <c r="A378" s="163">
        <v>2014</v>
      </c>
      <c r="B378" s="162" t="s">
        <v>335</v>
      </c>
      <c r="C378" s="156">
        <v>253.5</v>
      </c>
      <c r="D378" s="156">
        <v>46.6</v>
      </c>
      <c r="E378" s="156">
        <v>16.2</v>
      </c>
      <c r="F378" s="156">
        <v>2.9</v>
      </c>
      <c r="G378" s="156">
        <v>2.9</v>
      </c>
      <c r="H378" s="156">
        <v>5.8</v>
      </c>
      <c r="I378" s="157">
        <v>322.2</v>
      </c>
      <c r="J378" s="158"/>
      <c r="K378" s="158"/>
      <c r="L378" s="158"/>
    </row>
    <row r="379" spans="1:12" ht="17.25" x14ac:dyDescent="0.25">
      <c r="A379" s="154">
        <v>2015</v>
      </c>
      <c r="B379" s="162" t="s">
        <v>335</v>
      </c>
      <c r="C379" s="156">
        <v>258.10000000000002</v>
      </c>
      <c r="D379" s="156">
        <v>48.9</v>
      </c>
      <c r="E379" s="156">
        <v>16.8</v>
      </c>
      <c r="F379" s="156">
        <v>2.9</v>
      </c>
      <c r="G379" s="156">
        <v>2.8</v>
      </c>
      <c r="H379" s="156">
        <v>5.7</v>
      </c>
      <c r="I379" s="157">
        <v>329.6</v>
      </c>
      <c r="J379" s="158"/>
      <c r="K379" s="158"/>
      <c r="L379" s="158"/>
    </row>
    <row r="380" spans="1:12" ht="17.25" x14ac:dyDescent="0.25">
      <c r="A380" s="154">
        <v>2016</v>
      </c>
      <c r="B380" s="162" t="s">
        <v>335</v>
      </c>
      <c r="C380" s="156">
        <v>263.89999999999998</v>
      </c>
      <c r="D380" s="156">
        <v>51.7</v>
      </c>
      <c r="E380" s="156">
        <v>17</v>
      </c>
      <c r="F380" s="156">
        <v>3</v>
      </c>
      <c r="G380" s="156">
        <v>2.6</v>
      </c>
      <c r="H380" s="156">
        <v>5.6</v>
      </c>
      <c r="I380" s="157">
        <v>338.2</v>
      </c>
      <c r="J380" s="158"/>
      <c r="K380" s="158"/>
      <c r="L380" s="158"/>
    </row>
    <row r="381" spans="1:12" ht="17.25" x14ac:dyDescent="0.25">
      <c r="A381" s="154">
        <v>2017</v>
      </c>
      <c r="B381" s="162" t="s">
        <v>335</v>
      </c>
      <c r="C381" s="156">
        <v>269</v>
      </c>
      <c r="D381" s="156">
        <v>53.4</v>
      </c>
      <c r="E381" s="156">
        <v>17.2</v>
      </c>
      <c r="F381" s="156">
        <v>3</v>
      </c>
      <c r="G381" s="156">
        <v>2.6</v>
      </c>
      <c r="H381" s="156">
        <v>5.5</v>
      </c>
      <c r="I381" s="157">
        <v>345.2</v>
      </c>
      <c r="J381" s="158"/>
      <c r="K381" s="158"/>
      <c r="L381" s="158"/>
    </row>
    <row r="382" spans="1:12" ht="17.25" x14ac:dyDescent="0.25">
      <c r="A382" s="154">
        <v>2018</v>
      </c>
      <c r="B382" s="162" t="s">
        <v>335</v>
      </c>
      <c r="C382" s="156">
        <v>272.3</v>
      </c>
      <c r="D382" s="156">
        <v>54.4</v>
      </c>
      <c r="E382" s="156">
        <v>17.3</v>
      </c>
      <c r="F382" s="156">
        <v>3</v>
      </c>
      <c r="G382" s="156">
        <v>2.5</v>
      </c>
      <c r="H382" s="156">
        <v>5.5</v>
      </c>
      <c r="I382" s="157">
        <v>349.5</v>
      </c>
      <c r="J382" s="158"/>
      <c r="K382" s="158"/>
      <c r="L382" s="158"/>
    </row>
    <row r="383" spans="1:12" x14ac:dyDescent="0.25">
      <c r="A383" s="154">
        <v>2019</v>
      </c>
      <c r="B383" s="155"/>
      <c r="C383" s="156">
        <v>278.2</v>
      </c>
      <c r="D383" s="156">
        <v>55.5</v>
      </c>
      <c r="E383" s="156">
        <v>17.399999999999999</v>
      </c>
      <c r="F383" s="156">
        <v>3</v>
      </c>
      <c r="G383" s="156">
        <v>2.4</v>
      </c>
      <c r="H383" s="156">
        <v>5.4</v>
      </c>
      <c r="I383" s="157">
        <v>356.5</v>
      </c>
      <c r="J383" s="158"/>
      <c r="K383" s="158"/>
      <c r="L383" s="158"/>
    </row>
    <row r="384" spans="1:12" ht="15.75" thickBot="1" x14ac:dyDescent="0.3">
      <c r="A384" s="164"/>
      <c r="B384" s="165"/>
      <c r="C384" s="166"/>
      <c r="D384" s="166"/>
      <c r="E384" s="166"/>
      <c r="F384" s="166"/>
      <c r="G384" s="166"/>
      <c r="H384" s="166"/>
      <c r="I384" s="166"/>
      <c r="J384" s="158"/>
      <c r="K384" s="158"/>
      <c r="L384" s="158"/>
    </row>
    <row r="385" spans="1:12" x14ac:dyDescent="0.25">
      <c r="A385" s="167" t="s">
        <v>402</v>
      </c>
      <c r="B385" s="168"/>
      <c r="C385" s="169"/>
      <c r="D385" s="170"/>
      <c r="E385" s="171"/>
      <c r="F385" s="171"/>
      <c r="G385" s="171"/>
      <c r="H385" s="171"/>
      <c r="I385" s="172" t="s">
        <v>403</v>
      </c>
      <c r="J385" s="172"/>
      <c r="K385" s="158"/>
      <c r="L385" s="158"/>
    </row>
    <row r="386" spans="1:12" x14ac:dyDescent="0.25">
      <c r="A386" s="167" t="s">
        <v>404</v>
      </c>
      <c r="B386" s="168"/>
      <c r="C386" s="173"/>
      <c r="D386" s="171"/>
      <c r="E386" s="171"/>
      <c r="F386" s="171"/>
      <c r="G386" s="171"/>
      <c r="H386" s="171"/>
      <c r="I386" s="172" t="s">
        <v>405</v>
      </c>
      <c r="J386" s="172"/>
      <c r="K386" s="158"/>
      <c r="L386" s="158"/>
    </row>
    <row r="387" spans="1:12" x14ac:dyDescent="0.25">
      <c r="A387" s="167" t="s">
        <v>406</v>
      </c>
      <c r="B387" s="168"/>
      <c r="C387" s="173"/>
      <c r="D387" s="171"/>
      <c r="E387" s="171"/>
      <c r="F387" s="171"/>
      <c r="G387" s="171"/>
      <c r="H387" s="171"/>
      <c r="I387" s="174" t="s">
        <v>407</v>
      </c>
      <c r="J387" s="174"/>
      <c r="K387" s="158"/>
      <c r="L387" s="158"/>
    </row>
    <row r="388" spans="1:12" x14ac:dyDescent="0.25">
      <c r="A388" s="167" t="s">
        <v>408</v>
      </c>
      <c r="B388" s="168"/>
      <c r="C388" s="173"/>
      <c r="D388" s="171"/>
      <c r="E388" s="170"/>
      <c r="F388" s="170"/>
      <c r="G388" s="170"/>
      <c r="H388" s="170"/>
      <c r="I388" s="170"/>
      <c r="J388" s="158"/>
      <c r="K388" s="158"/>
      <c r="L388" s="158"/>
    </row>
    <row r="389" spans="1:12" x14ac:dyDescent="0.25">
      <c r="A389" s="175" t="s">
        <v>409</v>
      </c>
      <c r="B389" s="168"/>
      <c r="C389" s="173"/>
      <c r="D389" s="171"/>
      <c r="E389" s="170"/>
      <c r="F389" s="170"/>
      <c r="G389" s="170"/>
      <c r="H389" s="170"/>
      <c r="I389" s="170"/>
      <c r="J389" s="158"/>
      <c r="K389" s="158"/>
      <c r="L389" s="158"/>
    </row>
    <row r="390" spans="1:12" x14ac:dyDescent="0.25">
      <c r="A390" s="175" t="s">
        <v>410</v>
      </c>
      <c r="B390" s="168"/>
      <c r="C390" s="173"/>
      <c r="D390" s="171"/>
      <c r="E390" s="170"/>
      <c r="F390" s="170"/>
      <c r="G390" s="170"/>
      <c r="H390" s="170"/>
      <c r="I390" s="170"/>
      <c r="J390" s="158"/>
      <c r="K390" s="158"/>
      <c r="L390" s="158"/>
    </row>
    <row r="391" spans="1:12" x14ac:dyDescent="0.25">
      <c r="A391" s="244" t="s">
        <v>411</v>
      </c>
      <c r="B391" s="244"/>
      <c r="C391" s="244"/>
      <c r="D391" s="244"/>
      <c r="E391" s="244"/>
      <c r="F391" s="244"/>
      <c r="G391" s="244"/>
      <c r="H391" s="244"/>
      <c r="I391" s="244"/>
      <c r="J391" s="244"/>
      <c r="K391" s="244"/>
      <c r="L391" s="244"/>
    </row>
    <row r="392" spans="1:12" x14ac:dyDescent="0.25">
      <c r="A392" s="176"/>
      <c r="B392" s="168"/>
      <c r="C392" s="173"/>
      <c r="D392" s="171"/>
      <c r="E392" s="170"/>
      <c r="F392" s="170"/>
      <c r="G392" s="170"/>
      <c r="H392" s="170"/>
      <c r="I392" s="170"/>
      <c r="J392" s="158"/>
      <c r="K392" s="158"/>
      <c r="L392" s="158"/>
    </row>
    <row r="393" spans="1:12" x14ac:dyDescent="0.25">
      <c r="A393" s="148" t="s">
        <v>412</v>
      </c>
      <c r="B393" s="168"/>
      <c r="C393" s="169"/>
      <c r="D393" s="170"/>
      <c r="E393" s="170"/>
      <c r="F393" s="170"/>
      <c r="G393" s="170"/>
      <c r="H393" s="170"/>
      <c r="I393" s="170"/>
      <c r="J393" s="158"/>
      <c r="K393" s="158"/>
      <c r="L393" s="158"/>
    </row>
    <row r="394" spans="1:12" x14ac:dyDescent="0.25">
      <c r="A394" s="148" t="s">
        <v>413</v>
      </c>
      <c r="B394" s="177"/>
      <c r="C394" s="178"/>
      <c r="D394" s="158"/>
      <c r="E394" s="158"/>
      <c r="F394" s="158"/>
      <c r="G394" s="158"/>
      <c r="H394" s="158"/>
      <c r="I394" s="158"/>
      <c r="J394" s="158"/>
      <c r="K394" s="158"/>
      <c r="L394" s="158"/>
    </row>
    <row r="395" spans="1:12" x14ac:dyDescent="0.25">
      <c r="A395" s="179" t="s">
        <v>414</v>
      </c>
      <c r="B395" s="180"/>
      <c r="C395" s="178"/>
      <c r="D395" s="158"/>
      <c r="E395" s="158"/>
      <c r="F395" s="158"/>
      <c r="G395" s="158"/>
      <c r="H395" s="158"/>
      <c r="I395" s="158"/>
      <c r="J395" s="158"/>
      <c r="K395" s="158"/>
      <c r="L395" s="158"/>
    </row>
    <row r="396" spans="1:12" x14ac:dyDescent="0.25">
      <c r="A396" s="244" t="s">
        <v>415</v>
      </c>
      <c r="B396" s="244"/>
      <c r="C396" s="244"/>
      <c r="D396" s="244"/>
      <c r="E396" s="244"/>
      <c r="F396" s="244"/>
      <c r="G396" s="244"/>
      <c r="H396" s="244"/>
      <c r="I396" s="244"/>
      <c r="J396" s="244"/>
      <c r="K396" s="244"/>
      <c r="L396" s="244"/>
    </row>
    <row r="397" spans="1:12" x14ac:dyDescent="0.25">
      <c r="A397" s="148" t="s">
        <v>416</v>
      </c>
      <c r="B397" s="177"/>
      <c r="C397" s="178"/>
      <c r="D397" s="158"/>
      <c r="E397" s="158"/>
      <c r="F397" s="158"/>
      <c r="G397" s="158"/>
      <c r="H397" s="158"/>
      <c r="I397" s="158"/>
      <c r="J397" s="158"/>
      <c r="K397" s="158"/>
      <c r="L397" s="158"/>
    </row>
    <row r="398" spans="1:12" x14ac:dyDescent="0.25">
      <c r="A398" s="158"/>
      <c r="B398" s="177"/>
      <c r="C398" s="178"/>
      <c r="D398" s="158"/>
      <c r="E398" s="158"/>
      <c r="F398" s="158"/>
      <c r="G398" s="158"/>
      <c r="H398" s="158"/>
      <c r="I398" s="158"/>
      <c r="J398" s="158"/>
      <c r="K398" s="158"/>
      <c r="L398" s="158"/>
    </row>
    <row r="399" spans="1:12" x14ac:dyDescent="0.25">
      <c r="A399" s="158"/>
      <c r="B399" s="177"/>
      <c r="C399" s="178"/>
      <c r="D399" s="158"/>
      <c r="E399" s="158"/>
      <c r="F399" s="158"/>
      <c r="G399" s="158"/>
      <c r="H399" s="158"/>
      <c r="I399" s="158"/>
      <c r="J399" s="158"/>
      <c r="K399" s="158"/>
      <c r="L399" s="158"/>
    </row>
  </sheetData>
  <mergeCells count="6">
    <mergeCell ref="A396:L396"/>
    <mergeCell ref="F20:S20"/>
    <mergeCell ref="A268:N268"/>
    <mergeCell ref="A307:L307"/>
    <mergeCell ref="F311:H311"/>
    <mergeCell ref="A391:L391"/>
  </mergeCells>
  <hyperlinks>
    <hyperlink ref="J18" r:id="rId1" xr:uid="{00000000-0004-0000-0500-000000000000}"/>
    <hyperlink ref="A269" r:id="rId2" location="'1.1'!A1" display="http://tna.europarchive.org/20110503185748/http:/www.dft.gov.uk/excel/173025/221412/221522/222944/rfs2009section1.xls - '1.1'!A1" xr:uid="{00000000-0004-0000-0500-000001000000}"/>
    <hyperlink ref="A307" r:id="rId3" xr:uid="{00000000-0004-0000-0500-000002000000}"/>
    <hyperlink ref="A391" r:id="rId4" xr:uid="{00000000-0004-0000-0500-000003000000}"/>
    <hyperlink ref="A396" r:id="rId5" xr:uid="{00000000-0004-0000-0500-000004000000}"/>
    <hyperlink ref="C183" r:id="rId6" xr:uid="{00000000-0004-0000-0500-000005000000}"/>
  </hyperlinks>
  <pageMargins left="0.7" right="0.7" top="0.75" bottom="0.75" header="0.3" footer="0.3"/>
  <pageSetup paperSize="9" orientation="portrait" r:id="rId7"/>
  <drawing r:id="rId8"/>
  <legacyDrawing r:id="rId9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theme="9" tint="0.39997558519241921"/>
  </sheetPr>
  <dimension ref="A1:Q82"/>
  <sheetViews>
    <sheetView workbookViewId="0">
      <selection activeCell="A9" sqref="A9"/>
    </sheetView>
  </sheetViews>
  <sheetFormatPr defaultColWidth="8.375" defaultRowHeight="15" x14ac:dyDescent="0.25"/>
  <cols>
    <col min="1" max="9" width="17" style="182" customWidth="1"/>
    <col min="10" max="10" width="17" style="197" customWidth="1"/>
    <col min="11" max="13" width="17" style="182" customWidth="1"/>
    <col min="14" max="14" width="17" style="183" customWidth="1"/>
    <col min="15" max="17" width="17" style="182" customWidth="1"/>
    <col min="18" max="16384" width="8.375" style="184"/>
  </cols>
  <sheetData>
    <row r="1" spans="1:17" ht="18.75" x14ac:dyDescent="0.3">
      <c r="A1" s="181" t="s">
        <v>417</v>
      </c>
    </row>
    <row r="2" spans="1:17" ht="18.75" x14ac:dyDescent="0.3">
      <c r="A2" s="185" t="s">
        <v>418</v>
      </c>
    </row>
    <row r="3" spans="1:17" x14ac:dyDescent="0.25">
      <c r="A3" s="186"/>
    </row>
    <row r="4" spans="1:17" x14ac:dyDescent="0.25">
      <c r="A4" s="187" t="str">
        <f>HYPERLINK("http://www.eia.gov/totalenergy/data/monthly/dataunits.cfm","Note: Information about data precision.")</f>
        <v>Note: Information about data precision.</v>
      </c>
    </row>
    <row r="5" spans="1:17" x14ac:dyDescent="0.25">
      <c r="A5" s="188" t="s">
        <v>419</v>
      </c>
      <c r="B5" s="189">
        <v>235.21458357138519</v>
      </c>
      <c r="C5" s="189" t="s">
        <v>243</v>
      </c>
    </row>
    <row r="6" spans="1:17" x14ac:dyDescent="0.25">
      <c r="A6" s="186" t="s">
        <v>420</v>
      </c>
    </row>
    <row r="7" spans="1:17" x14ac:dyDescent="0.25">
      <c r="A7" s="186" t="s">
        <v>421</v>
      </c>
    </row>
    <row r="8" spans="1:17" x14ac:dyDescent="0.25">
      <c r="A8" s="186"/>
    </row>
    <row r="9" spans="1:17" ht="15.75" x14ac:dyDescent="0.25">
      <c r="A9" s="190" t="s">
        <v>422</v>
      </c>
    </row>
    <row r="11" spans="1:17" ht="39" x14ac:dyDescent="0.25">
      <c r="A11" s="191" t="s">
        <v>326</v>
      </c>
      <c r="B11" s="191" t="s">
        <v>423</v>
      </c>
      <c r="C11" s="191" t="s">
        <v>424</v>
      </c>
      <c r="D11" s="191" t="s">
        <v>425</v>
      </c>
      <c r="E11" s="191"/>
      <c r="F11" s="191" t="s">
        <v>426</v>
      </c>
      <c r="G11" s="191" t="s">
        <v>427</v>
      </c>
      <c r="H11" s="191" t="s">
        <v>428</v>
      </c>
      <c r="I11" s="191" t="s">
        <v>429</v>
      </c>
      <c r="J11" s="198" t="s">
        <v>429</v>
      </c>
      <c r="K11" s="191" t="s">
        <v>430</v>
      </c>
      <c r="L11" s="191" t="s">
        <v>431</v>
      </c>
      <c r="M11" s="191" t="s">
        <v>432</v>
      </c>
      <c r="N11" s="191" t="s">
        <v>432</v>
      </c>
      <c r="O11" s="191" t="s">
        <v>433</v>
      </c>
      <c r="P11" s="191" t="s">
        <v>434</v>
      </c>
      <c r="Q11" s="191" t="s">
        <v>435</v>
      </c>
    </row>
    <row r="12" spans="1:17" x14ac:dyDescent="0.25">
      <c r="A12" s="191"/>
      <c r="B12" s="191" t="s">
        <v>436</v>
      </c>
      <c r="C12" s="191" t="s">
        <v>437</v>
      </c>
      <c r="D12" s="191" t="s">
        <v>438</v>
      </c>
      <c r="E12" s="191" t="s">
        <v>243</v>
      </c>
      <c r="F12" s="191" t="s">
        <v>436</v>
      </c>
      <c r="G12" s="191" t="s">
        <v>437</v>
      </c>
      <c r="H12" s="191" t="s">
        <v>438</v>
      </c>
      <c r="I12" s="191" t="s">
        <v>438</v>
      </c>
      <c r="J12" s="198" t="s">
        <v>243</v>
      </c>
      <c r="K12" s="191" t="s">
        <v>436</v>
      </c>
      <c r="L12" s="191" t="s">
        <v>437</v>
      </c>
      <c r="M12" s="191" t="s">
        <v>438</v>
      </c>
      <c r="N12" s="192" t="s">
        <v>243</v>
      </c>
      <c r="O12" s="191" t="s">
        <v>436</v>
      </c>
      <c r="P12" s="191" t="s">
        <v>437</v>
      </c>
      <c r="Q12" s="191" t="s">
        <v>438</v>
      </c>
    </row>
    <row r="13" spans="1:17" x14ac:dyDescent="0.25">
      <c r="A13" s="193">
        <v>1949</v>
      </c>
      <c r="B13" s="182">
        <v>9388</v>
      </c>
      <c r="C13" s="182">
        <v>627</v>
      </c>
      <c r="D13" s="182">
        <v>15</v>
      </c>
      <c r="E13" s="194">
        <f>$B$5/D13</f>
        <v>15.680972238092346</v>
      </c>
      <c r="F13" s="182" t="s">
        <v>439</v>
      </c>
      <c r="G13" s="182" t="s">
        <v>439</v>
      </c>
      <c r="H13" s="182" t="s">
        <v>439</v>
      </c>
      <c r="K13" s="182">
        <v>9712</v>
      </c>
      <c r="L13" s="182">
        <v>1080</v>
      </c>
      <c r="M13" s="182">
        <v>9</v>
      </c>
      <c r="N13" s="196">
        <f t="shared" ref="N13:N29" si="0">$B$5/M13</f>
        <v>26.13495373015391</v>
      </c>
      <c r="O13" s="182">
        <v>9498</v>
      </c>
      <c r="P13" s="182">
        <v>726</v>
      </c>
      <c r="Q13" s="182">
        <v>13.1</v>
      </c>
    </row>
    <row r="14" spans="1:17" x14ac:dyDescent="0.25">
      <c r="A14" s="193">
        <v>1950</v>
      </c>
      <c r="B14" s="182">
        <v>9060</v>
      </c>
      <c r="C14" s="182">
        <v>603</v>
      </c>
      <c r="D14" s="182">
        <v>15</v>
      </c>
      <c r="E14" s="194">
        <f t="shared" ref="E14:E77" si="1">$B$5/D14</f>
        <v>15.680972238092346</v>
      </c>
      <c r="F14" s="182" t="s">
        <v>439</v>
      </c>
      <c r="G14" s="182" t="s">
        <v>439</v>
      </c>
      <c r="H14" s="182" t="s">
        <v>439</v>
      </c>
      <c r="K14" s="182">
        <v>10316</v>
      </c>
      <c r="L14" s="182">
        <v>1229</v>
      </c>
      <c r="M14" s="182">
        <v>8.4</v>
      </c>
      <c r="N14" s="196">
        <f t="shared" si="0"/>
        <v>28.001736139450617</v>
      </c>
      <c r="O14" s="182">
        <v>9321</v>
      </c>
      <c r="P14" s="182">
        <v>725</v>
      </c>
      <c r="Q14" s="182">
        <v>12.8</v>
      </c>
    </row>
    <row r="15" spans="1:17" x14ac:dyDescent="0.25">
      <c r="A15" s="193">
        <v>1951</v>
      </c>
      <c r="B15" s="182">
        <v>9186</v>
      </c>
      <c r="C15" s="182">
        <v>614</v>
      </c>
      <c r="D15" s="182">
        <v>15</v>
      </c>
      <c r="E15" s="194">
        <f t="shared" si="1"/>
        <v>15.680972238092346</v>
      </c>
      <c r="F15" s="182" t="s">
        <v>439</v>
      </c>
      <c r="G15" s="182" t="s">
        <v>439</v>
      </c>
      <c r="H15" s="182" t="s">
        <v>439</v>
      </c>
      <c r="K15" s="182">
        <v>10545</v>
      </c>
      <c r="L15" s="182">
        <v>1242</v>
      </c>
      <c r="M15" s="182">
        <v>8.5</v>
      </c>
      <c r="N15" s="196">
        <f t="shared" si="0"/>
        <v>27.672303949574729</v>
      </c>
      <c r="O15" s="182">
        <v>9460</v>
      </c>
      <c r="P15" s="182">
        <v>735</v>
      </c>
      <c r="Q15" s="182">
        <v>12.9</v>
      </c>
    </row>
    <row r="16" spans="1:17" x14ac:dyDescent="0.25">
      <c r="A16" s="193">
        <v>1952</v>
      </c>
      <c r="B16" s="182">
        <v>9360</v>
      </c>
      <c r="C16" s="182">
        <v>639</v>
      </c>
      <c r="D16" s="182">
        <v>14.7</v>
      </c>
      <c r="E16" s="194">
        <f t="shared" si="1"/>
        <v>16.000992079686068</v>
      </c>
      <c r="F16" s="182" t="s">
        <v>439</v>
      </c>
      <c r="G16" s="182" t="s">
        <v>439</v>
      </c>
      <c r="H16" s="182" t="s">
        <v>439</v>
      </c>
      <c r="K16" s="182">
        <v>10769</v>
      </c>
      <c r="L16" s="182">
        <v>1288</v>
      </c>
      <c r="M16" s="182">
        <v>8.4</v>
      </c>
      <c r="N16" s="196">
        <f t="shared" si="0"/>
        <v>28.001736139450617</v>
      </c>
      <c r="O16" s="182">
        <v>9642</v>
      </c>
      <c r="P16" s="182">
        <v>762</v>
      </c>
      <c r="Q16" s="182">
        <v>12.7</v>
      </c>
    </row>
    <row r="17" spans="1:17" x14ac:dyDescent="0.25">
      <c r="A17" s="193">
        <v>1953</v>
      </c>
      <c r="B17" s="182">
        <v>9377</v>
      </c>
      <c r="C17" s="182">
        <v>640</v>
      </c>
      <c r="D17" s="182">
        <v>14.6</v>
      </c>
      <c r="E17" s="194">
        <f t="shared" si="1"/>
        <v>16.110587915848303</v>
      </c>
      <c r="F17" s="182" t="s">
        <v>439</v>
      </c>
      <c r="G17" s="182" t="s">
        <v>439</v>
      </c>
      <c r="H17" s="182" t="s">
        <v>439</v>
      </c>
      <c r="K17" s="182">
        <v>10963</v>
      </c>
      <c r="L17" s="182">
        <v>1283</v>
      </c>
      <c r="M17" s="182">
        <v>8.5</v>
      </c>
      <c r="N17" s="196">
        <f t="shared" si="0"/>
        <v>27.672303949574729</v>
      </c>
      <c r="O17" s="182">
        <v>9684</v>
      </c>
      <c r="P17" s="182">
        <v>760</v>
      </c>
      <c r="Q17" s="182">
        <v>12.7</v>
      </c>
    </row>
    <row r="18" spans="1:17" x14ac:dyDescent="0.25">
      <c r="A18" s="193">
        <v>1954</v>
      </c>
      <c r="B18" s="182">
        <v>9349</v>
      </c>
      <c r="C18" s="182">
        <v>641</v>
      </c>
      <c r="D18" s="182">
        <v>14.6</v>
      </c>
      <c r="E18" s="194">
        <f t="shared" si="1"/>
        <v>16.110587915848303</v>
      </c>
      <c r="F18" s="182" t="s">
        <v>439</v>
      </c>
      <c r="G18" s="182" t="s">
        <v>439</v>
      </c>
      <c r="H18" s="182" t="s">
        <v>439</v>
      </c>
      <c r="K18" s="182">
        <v>10682</v>
      </c>
      <c r="L18" s="182">
        <v>1281</v>
      </c>
      <c r="M18" s="182">
        <v>8.3000000000000007</v>
      </c>
      <c r="N18" s="196">
        <f t="shared" si="0"/>
        <v>28.339106454383757</v>
      </c>
      <c r="O18" s="182">
        <v>9605</v>
      </c>
      <c r="P18" s="182">
        <v>758</v>
      </c>
      <c r="Q18" s="182">
        <v>12.7</v>
      </c>
    </row>
    <row r="19" spans="1:17" x14ac:dyDescent="0.25">
      <c r="A19" s="193">
        <v>1955</v>
      </c>
      <c r="B19" s="182">
        <v>9447</v>
      </c>
      <c r="C19" s="182">
        <v>645</v>
      </c>
      <c r="D19" s="182">
        <v>14.6</v>
      </c>
      <c r="E19" s="194">
        <f t="shared" si="1"/>
        <v>16.110587915848303</v>
      </c>
      <c r="F19" s="182" t="s">
        <v>439</v>
      </c>
      <c r="G19" s="182" t="s">
        <v>439</v>
      </c>
      <c r="H19" s="182" t="s">
        <v>439</v>
      </c>
      <c r="K19" s="182">
        <v>10576</v>
      </c>
      <c r="L19" s="182">
        <v>1293</v>
      </c>
      <c r="M19" s="182">
        <v>8.1999999999999993</v>
      </c>
      <c r="N19" s="196">
        <f t="shared" si="0"/>
        <v>28.684705313583564</v>
      </c>
      <c r="O19" s="182">
        <v>9661</v>
      </c>
      <c r="P19" s="182">
        <v>761</v>
      </c>
      <c r="Q19" s="182">
        <v>12.7</v>
      </c>
    </row>
    <row r="20" spans="1:17" x14ac:dyDescent="0.25">
      <c r="A20" s="193">
        <v>1956</v>
      </c>
      <c r="B20" s="182">
        <v>9496</v>
      </c>
      <c r="C20" s="182">
        <v>654</v>
      </c>
      <c r="D20" s="182">
        <v>14.5</v>
      </c>
      <c r="E20" s="194">
        <f t="shared" si="1"/>
        <v>16.221695418716219</v>
      </c>
      <c r="F20" s="182" t="s">
        <v>439</v>
      </c>
      <c r="G20" s="182" t="s">
        <v>439</v>
      </c>
      <c r="H20" s="182" t="s">
        <v>439</v>
      </c>
      <c r="K20" s="182">
        <v>10511</v>
      </c>
      <c r="L20" s="182">
        <v>1309</v>
      </c>
      <c r="M20" s="182">
        <v>8</v>
      </c>
      <c r="N20" s="196">
        <f t="shared" si="0"/>
        <v>29.401822946423149</v>
      </c>
      <c r="O20" s="182">
        <v>9688</v>
      </c>
      <c r="P20" s="182">
        <v>771</v>
      </c>
      <c r="Q20" s="182">
        <v>12.6</v>
      </c>
    </row>
    <row r="21" spans="1:17" x14ac:dyDescent="0.25">
      <c r="A21" s="193">
        <v>1957</v>
      </c>
      <c r="B21" s="182">
        <v>9348</v>
      </c>
      <c r="C21" s="182">
        <v>658</v>
      </c>
      <c r="D21" s="182">
        <v>14.2</v>
      </c>
      <c r="E21" s="194">
        <f t="shared" si="1"/>
        <v>16.564407293759523</v>
      </c>
      <c r="F21" s="182" t="s">
        <v>439</v>
      </c>
      <c r="G21" s="182" t="s">
        <v>439</v>
      </c>
      <c r="H21" s="182" t="s">
        <v>439</v>
      </c>
      <c r="K21" s="182">
        <v>10774</v>
      </c>
      <c r="L21" s="182">
        <v>1304</v>
      </c>
      <c r="M21" s="182">
        <v>8.3000000000000007</v>
      </c>
      <c r="N21" s="196">
        <f t="shared" si="0"/>
        <v>28.339106454383757</v>
      </c>
      <c r="O21" s="182">
        <v>9609</v>
      </c>
      <c r="P21" s="182">
        <v>773</v>
      </c>
      <c r="Q21" s="182">
        <v>12.4</v>
      </c>
    </row>
    <row r="22" spans="1:17" x14ac:dyDescent="0.25">
      <c r="A22" s="193">
        <v>1958</v>
      </c>
      <c r="B22" s="182">
        <v>9500</v>
      </c>
      <c r="C22" s="182">
        <v>670</v>
      </c>
      <c r="D22" s="182">
        <v>14.2</v>
      </c>
      <c r="E22" s="194">
        <f t="shared" si="1"/>
        <v>16.564407293759523</v>
      </c>
      <c r="F22" s="182" t="s">
        <v>439</v>
      </c>
      <c r="G22" s="182" t="s">
        <v>439</v>
      </c>
      <c r="H22" s="182" t="s">
        <v>439</v>
      </c>
      <c r="K22" s="182">
        <v>10768</v>
      </c>
      <c r="L22" s="182">
        <v>1303</v>
      </c>
      <c r="M22" s="182">
        <v>8.3000000000000007</v>
      </c>
      <c r="N22" s="196">
        <f t="shared" si="0"/>
        <v>28.339106454383757</v>
      </c>
      <c r="O22" s="182">
        <v>9732</v>
      </c>
      <c r="P22" s="182">
        <v>782</v>
      </c>
      <c r="Q22" s="182">
        <v>12.4</v>
      </c>
    </row>
    <row r="23" spans="1:17" x14ac:dyDescent="0.25">
      <c r="A23" s="193">
        <v>1959</v>
      </c>
      <c r="B23" s="182">
        <v>9615</v>
      </c>
      <c r="C23" s="182">
        <v>674</v>
      </c>
      <c r="D23" s="182">
        <v>14.3</v>
      </c>
      <c r="E23" s="194">
        <f t="shared" si="1"/>
        <v>16.448572277719244</v>
      </c>
      <c r="F23" s="182" t="s">
        <v>439</v>
      </c>
      <c r="G23" s="182" t="s">
        <v>439</v>
      </c>
      <c r="H23" s="182" t="s">
        <v>439</v>
      </c>
      <c r="K23" s="182">
        <v>10702</v>
      </c>
      <c r="L23" s="182">
        <v>1328</v>
      </c>
      <c r="M23" s="182">
        <v>8.1</v>
      </c>
      <c r="N23" s="196">
        <f t="shared" si="0"/>
        <v>29.038837477948789</v>
      </c>
      <c r="O23" s="182">
        <v>9817</v>
      </c>
      <c r="P23" s="182">
        <v>789</v>
      </c>
      <c r="Q23" s="182">
        <v>12.4</v>
      </c>
    </row>
    <row r="24" spans="1:17" x14ac:dyDescent="0.25">
      <c r="A24" s="193">
        <v>1960</v>
      </c>
      <c r="B24" s="182">
        <v>9518</v>
      </c>
      <c r="C24" s="182">
        <v>668</v>
      </c>
      <c r="D24" s="182">
        <v>14.3</v>
      </c>
      <c r="E24" s="194">
        <f t="shared" si="1"/>
        <v>16.448572277719244</v>
      </c>
      <c r="F24" s="182" t="s">
        <v>439</v>
      </c>
      <c r="G24" s="182" t="s">
        <v>439</v>
      </c>
      <c r="H24" s="182" t="s">
        <v>439</v>
      </c>
      <c r="K24" s="182">
        <v>10693</v>
      </c>
      <c r="L24" s="182">
        <v>1333</v>
      </c>
      <c r="M24" s="182">
        <v>8</v>
      </c>
      <c r="N24" s="196">
        <f t="shared" si="0"/>
        <v>29.401822946423149</v>
      </c>
      <c r="O24" s="182">
        <v>9732</v>
      </c>
      <c r="P24" s="182">
        <v>784</v>
      </c>
      <c r="Q24" s="182">
        <v>12.4</v>
      </c>
    </row>
    <row r="25" spans="1:17" x14ac:dyDescent="0.25">
      <c r="A25" s="193">
        <v>1961</v>
      </c>
      <c r="B25" s="182">
        <v>9521</v>
      </c>
      <c r="C25" s="182">
        <v>663</v>
      </c>
      <c r="D25" s="182">
        <v>14.4</v>
      </c>
      <c r="E25" s="194">
        <f t="shared" si="1"/>
        <v>16.334346081346194</v>
      </c>
      <c r="F25" s="182" t="s">
        <v>439</v>
      </c>
      <c r="G25" s="182" t="s">
        <v>439</v>
      </c>
      <c r="H25" s="182" t="s">
        <v>439</v>
      </c>
      <c r="K25" s="182">
        <v>10537</v>
      </c>
      <c r="L25" s="182">
        <v>1341</v>
      </c>
      <c r="M25" s="182">
        <v>7.9</v>
      </c>
      <c r="N25" s="196">
        <f t="shared" si="0"/>
        <v>29.773997920428503</v>
      </c>
      <c r="O25" s="182">
        <v>9708</v>
      </c>
      <c r="P25" s="182">
        <v>781</v>
      </c>
      <c r="Q25" s="182">
        <v>12.4</v>
      </c>
    </row>
    <row r="26" spans="1:17" x14ac:dyDescent="0.25">
      <c r="A26" s="193">
        <v>1962</v>
      </c>
      <c r="B26" s="182">
        <v>9494</v>
      </c>
      <c r="C26" s="182">
        <v>662</v>
      </c>
      <c r="D26" s="182">
        <v>14.3</v>
      </c>
      <c r="E26" s="194">
        <f t="shared" si="1"/>
        <v>16.448572277719244</v>
      </c>
      <c r="F26" s="182" t="s">
        <v>439</v>
      </c>
      <c r="G26" s="182" t="s">
        <v>439</v>
      </c>
      <c r="H26" s="182" t="s">
        <v>439</v>
      </c>
      <c r="K26" s="182">
        <v>10554</v>
      </c>
      <c r="L26" s="182">
        <v>1337</v>
      </c>
      <c r="M26" s="182">
        <v>7.9</v>
      </c>
      <c r="N26" s="196">
        <f t="shared" si="0"/>
        <v>29.773997920428503</v>
      </c>
      <c r="O26" s="182">
        <v>9687</v>
      </c>
      <c r="P26" s="182">
        <v>779</v>
      </c>
      <c r="Q26" s="182">
        <v>12.4</v>
      </c>
    </row>
    <row r="27" spans="1:17" x14ac:dyDescent="0.25">
      <c r="A27" s="193">
        <v>1963</v>
      </c>
      <c r="B27" s="182">
        <v>9587</v>
      </c>
      <c r="C27" s="182">
        <v>655</v>
      </c>
      <c r="D27" s="182">
        <v>14.6</v>
      </c>
      <c r="E27" s="194">
        <f t="shared" si="1"/>
        <v>16.110587915848303</v>
      </c>
      <c r="F27" s="182" t="s">
        <v>439</v>
      </c>
      <c r="G27" s="182" t="s">
        <v>439</v>
      </c>
      <c r="H27" s="182" t="s">
        <v>439</v>
      </c>
      <c r="K27" s="182">
        <v>10395</v>
      </c>
      <c r="L27" s="182">
        <v>1380</v>
      </c>
      <c r="M27" s="182">
        <v>7.5</v>
      </c>
      <c r="N27" s="196">
        <f t="shared" si="0"/>
        <v>31.361944476184693</v>
      </c>
      <c r="O27" s="182">
        <v>9737</v>
      </c>
      <c r="P27" s="182">
        <v>780</v>
      </c>
      <c r="Q27" s="182">
        <v>12.5</v>
      </c>
    </row>
    <row r="28" spans="1:17" x14ac:dyDescent="0.25">
      <c r="A28" s="193">
        <v>1964</v>
      </c>
      <c r="B28" s="182">
        <v>9665</v>
      </c>
      <c r="C28" s="182">
        <v>661</v>
      </c>
      <c r="D28" s="182">
        <v>14.6</v>
      </c>
      <c r="E28" s="194">
        <f t="shared" si="1"/>
        <v>16.110587915848303</v>
      </c>
      <c r="F28" s="182" t="s">
        <v>439</v>
      </c>
      <c r="G28" s="182" t="s">
        <v>439</v>
      </c>
      <c r="H28" s="182" t="s">
        <v>439</v>
      </c>
      <c r="K28" s="182">
        <v>10408</v>
      </c>
      <c r="L28" s="182">
        <v>1389</v>
      </c>
      <c r="M28" s="182">
        <v>7.5</v>
      </c>
      <c r="N28" s="196">
        <f t="shared" si="0"/>
        <v>31.361944476184693</v>
      </c>
      <c r="O28" s="182">
        <v>9805</v>
      </c>
      <c r="P28" s="182">
        <v>787</v>
      </c>
      <c r="Q28" s="182">
        <v>12.5</v>
      </c>
    </row>
    <row r="29" spans="1:17" x14ac:dyDescent="0.25">
      <c r="A29" s="193">
        <v>1965</v>
      </c>
      <c r="B29" s="182">
        <v>9603</v>
      </c>
      <c r="C29" s="182">
        <v>661</v>
      </c>
      <c r="D29" s="182">
        <v>14.5</v>
      </c>
      <c r="E29" s="194">
        <f t="shared" si="1"/>
        <v>16.221695418716219</v>
      </c>
      <c r="F29" s="182" t="s">
        <v>439</v>
      </c>
      <c r="G29" s="182" t="s">
        <v>439</v>
      </c>
      <c r="H29" s="182" t="s">
        <v>439</v>
      </c>
      <c r="K29" s="182">
        <v>10851</v>
      </c>
      <c r="L29" s="182">
        <v>1387</v>
      </c>
      <c r="M29" s="182">
        <v>7.8</v>
      </c>
      <c r="N29" s="196">
        <f t="shared" si="0"/>
        <v>30.155715842485282</v>
      </c>
      <c r="O29" s="182">
        <v>9826</v>
      </c>
      <c r="P29" s="182">
        <v>787</v>
      </c>
      <c r="Q29" s="182">
        <v>12.5</v>
      </c>
    </row>
    <row r="30" spans="1:17" x14ac:dyDescent="0.25">
      <c r="A30" s="193">
        <v>1966</v>
      </c>
      <c r="B30" s="182">
        <v>9733</v>
      </c>
      <c r="C30" s="182">
        <v>688</v>
      </c>
      <c r="D30" s="182">
        <v>14.1</v>
      </c>
      <c r="E30" s="194">
        <f t="shared" si="1"/>
        <v>16.681885359672709</v>
      </c>
      <c r="F30" s="182">
        <v>8077</v>
      </c>
      <c r="G30" s="182">
        <v>833</v>
      </c>
      <c r="H30" s="182">
        <v>9.6999999999999993</v>
      </c>
      <c r="I30" s="195">
        <f>(B30+F30)/(C30+G30)</f>
        <v>11.709401709401709</v>
      </c>
      <c r="J30" s="199">
        <f>$B$5/I30</f>
        <v>20.087668815950416</v>
      </c>
      <c r="K30" s="182">
        <v>12537</v>
      </c>
      <c r="L30" s="182">
        <v>2250</v>
      </c>
      <c r="M30" s="182">
        <v>5.6</v>
      </c>
      <c r="N30" s="196">
        <f>$B$5/M30</f>
        <v>42.002604209175928</v>
      </c>
      <c r="O30" s="182">
        <v>9675</v>
      </c>
      <c r="P30" s="182">
        <v>780</v>
      </c>
      <c r="Q30" s="182">
        <v>12.4</v>
      </c>
    </row>
    <row r="31" spans="1:17" x14ac:dyDescent="0.25">
      <c r="A31" s="193">
        <v>1967</v>
      </c>
      <c r="B31" s="182">
        <v>9849</v>
      </c>
      <c r="C31" s="182">
        <v>699</v>
      </c>
      <c r="D31" s="182">
        <v>14.1</v>
      </c>
      <c r="E31" s="194">
        <f t="shared" si="1"/>
        <v>16.681885359672709</v>
      </c>
      <c r="F31" s="182">
        <v>7877</v>
      </c>
      <c r="G31" s="182">
        <v>801</v>
      </c>
      <c r="H31" s="182">
        <v>9.8000000000000007</v>
      </c>
      <c r="I31" s="195">
        <f t="shared" ref="I31:I82" si="2">(B31+F31)/(C31+G31)</f>
        <v>11.817333333333334</v>
      </c>
      <c r="J31" s="199">
        <f t="shared" ref="J31:J82" si="3">$B$5/I31</f>
        <v>19.904201475633407</v>
      </c>
      <c r="K31" s="182">
        <v>12789</v>
      </c>
      <c r="L31" s="182">
        <v>2294</v>
      </c>
      <c r="M31" s="182">
        <v>5.6</v>
      </c>
      <c r="N31" s="196">
        <f t="shared" ref="N31:N82" si="4">$B$5/M31</f>
        <v>42.002604209175928</v>
      </c>
      <c r="O31" s="182">
        <v>9751</v>
      </c>
      <c r="P31" s="182">
        <v>786</v>
      </c>
      <c r="Q31" s="182">
        <v>12.4</v>
      </c>
    </row>
    <row r="32" spans="1:17" x14ac:dyDescent="0.25">
      <c r="A32" s="193">
        <v>1968</v>
      </c>
      <c r="B32" s="182">
        <v>9922</v>
      </c>
      <c r="C32" s="182">
        <v>714</v>
      </c>
      <c r="D32" s="182">
        <v>13.9</v>
      </c>
      <c r="E32" s="194">
        <f t="shared" si="1"/>
        <v>16.921912487150014</v>
      </c>
      <c r="F32" s="182">
        <v>8376</v>
      </c>
      <c r="G32" s="182">
        <v>849</v>
      </c>
      <c r="H32" s="182">
        <v>9.9</v>
      </c>
      <c r="I32" s="195">
        <f t="shared" si="2"/>
        <v>11.706973768394114</v>
      </c>
      <c r="J32" s="199">
        <f t="shared" si="3"/>
        <v>20.091834852009786</v>
      </c>
      <c r="K32" s="182">
        <v>12402</v>
      </c>
      <c r="L32" s="182">
        <v>2240</v>
      </c>
      <c r="M32" s="182">
        <v>5.5</v>
      </c>
      <c r="N32" s="196">
        <f t="shared" si="4"/>
        <v>42.766287922070035</v>
      </c>
      <c r="O32" s="182">
        <v>9864</v>
      </c>
      <c r="P32" s="182">
        <v>805</v>
      </c>
      <c r="Q32" s="182">
        <v>12.2</v>
      </c>
    </row>
    <row r="33" spans="1:17" x14ac:dyDescent="0.25">
      <c r="A33" s="193">
        <v>1969</v>
      </c>
      <c r="B33" s="182">
        <v>9921</v>
      </c>
      <c r="C33" s="182">
        <v>727</v>
      </c>
      <c r="D33" s="182">
        <v>13.6</v>
      </c>
      <c r="E33" s="194">
        <f t="shared" si="1"/>
        <v>17.295189968484205</v>
      </c>
      <c r="F33" s="182">
        <v>8355</v>
      </c>
      <c r="G33" s="182">
        <v>851</v>
      </c>
      <c r="H33" s="182">
        <v>9.8000000000000007</v>
      </c>
      <c r="I33" s="195">
        <f t="shared" si="2"/>
        <v>11.581749049429657</v>
      </c>
      <c r="J33" s="199">
        <f t="shared" si="3"/>
        <v>20.309072711514876</v>
      </c>
      <c r="K33" s="182">
        <v>13484</v>
      </c>
      <c r="L33" s="182">
        <v>2459</v>
      </c>
      <c r="M33" s="182">
        <v>5.5</v>
      </c>
      <c r="N33" s="196">
        <f t="shared" si="4"/>
        <v>42.766287922070035</v>
      </c>
      <c r="O33" s="182">
        <v>9885</v>
      </c>
      <c r="P33" s="182">
        <v>821</v>
      </c>
      <c r="Q33" s="182">
        <v>12</v>
      </c>
    </row>
    <row r="34" spans="1:17" x14ac:dyDescent="0.25">
      <c r="A34" s="193">
        <v>1970</v>
      </c>
      <c r="B34" s="182">
        <v>9989</v>
      </c>
      <c r="C34" s="182">
        <v>737</v>
      </c>
      <c r="D34" s="182">
        <v>13.5</v>
      </c>
      <c r="E34" s="194">
        <f t="shared" si="1"/>
        <v>17.423302486769273</v>
      </c>
      <c r="F34" s="182">
        <v>8676</v>
      </c>
      <c r="G34" s="182">
        <v>866</v>
      </c>
      <c r="H34" s="182">
        <v>10</v>
      </c>
      <c r="I34" s="195">
        <f t="shared" si="2"/>
        <v>11.643792888334373</v>
      </c>
      <c r="J34" s="199">
        <f t="shared" si="3"/>
        <v>20.200856012050924</v>
      </c>
      <c r="K34" s="182">
        <v>13565</v>
      </c>
      <c r="L34" s="182">
        <v>2467</v>
      </c>
      <c r="M34" s="182">
        <v>5.5</v>
      </c>
      <c r="N34" s="196">
        <f t="shared" si="4"/>
        <v>42.766287922070035</v>
      </c>
      <c r="O34" s="182">
        <v>9976</v>
      </c>
      <c r="P34" s="182">
        <v>830</v>
      </c>
      <c r="Q34" s="182">
        <v>12</v>
      </c>
    </row>
    <row r="35" spans="1:17" x14ac:dyDescent="0.25">
      <c r="A35" s="193">
        <v>1971</v>
      </c>
      <c r="B35" s="182">
        <v>10097</v>
      </c>
      <c r="C35" s="182">
        <v>743</v>
      </c>
      <c r="D35" s="182">
        <v>13.6</v>
      </c>
      <c r="E35" s="194">
        <f t="shared" si="1"/>
        <v>17.295189968484205</v>
      </c>
      <c r="F35" s="182">
        <v>9082</v>
      </c>
      <c r="G35" s="182">
        <v>888</v>
      </c>
      <c r="H35" s="182">
        <v>10.199999999999999</v>
      </c>
      <c r="I35" s="195">
        <f t="shared" si="2"/>
        <v>11.75904353157572</v>
      </c>
      <c r="J35" s="199">
        <f t="shared" si="3"/>
        <v>20.002866979765852</v>
      </c>
      <c r="K35" s="182">
        <v>14117</v>
      </c>
      <c r="L35" s="182">
        <v>2519</v>
      </c>
      <c r="M35" s="182">
        <v>5.6</v>
      </c>
      <c r="N35" s="196">
        <f t="shared" si="4"/>
        <v>42.002604209175928</v>
      </c>
      <c r="O35" s="182">
        <v>10133</v>
      </c>
      <c r="P35" s="182">
        <v>839</v>
      </c>
      <c r="Q35" s="182">
        <v>12.1</v>
      </c>
    </row>
    <row r="36" spans="1:17" x14ac:dyDescent="0.25">
      <c r="A36" s="193">
        <v>1972</v>
      </c>
      <c r="B36" s="182">
        <v>10171</v>
      </c>
      <c r="C36" s="182">
        <v>754</v>
      </c>
      <c r="D36" s="182">
        <v>13.5</v>
      </c>
      <c r="E36" s="194">
        <f t="shared" si="1"/>
        <v>17.423302486769273</v>
      </c>
      <c r="F36" s="182">
        <v>9534</v>
      </c>
      <c r="G36" s="182">
        <v>922</v>
      </c>
      <c r="H36" s="182">
        <v>10.3</v>
      </c>
      <c r="I36" s="195">
        <f t="shared" si="2"/>
        <v>11.757159904534607</v>
      </c>
      <c r="J36" s="199">
        <f t="shared" si="3"/>
        <v>20.006071660271076</v>
      </c>
      <c r="K36" s="182">
        <v>14780</v>
      </c>
      <c r="L36" s="182">
        <v>2657</v>
      </c>
      <c r="M36" s="182">
        <v>5.6</v>
      </c>
      <c r="N36" s="196">
        <f t="shared" si="4"/>
        <v>42.002604209175928</v>
      </c>
      <c r="O36" s="182">
        <v>10279</v>
      </c>
      <c r="P36" s="182">
        <v>857</v>
      </c>
      <c r="Q36" s="182">
        <v>12</v>
      </c>
    </row>
    <row r="37" spans="1:17" x14ac:dyDescent="0.25">
      <c r="A37" s="193">
        <v>1973</v>
      </c>
      <c r="B37" s="182">
        <v>9884</v>
      </c>
      <c r="C37" s="182">
        <v>737</v>
      </c>
      <c r="D37" s="182">
        <v>13.4</v>
      </c>
      <c r="E37" s="194">
        <f t="shared" si="1"/>
        <v>17.553327132192923</v>
      </c>
      <c r="F37" s="182">
        <v>9779</v>
      </c>
      <c r="G37" s="182">
        <v>931</v>
      </c>
      <c r="H37" s="182">
        <v>10.5</v>
      </c>
      <c r="I37" s="195">
        <f t="shared" si="2"/>
        <v>11.788369304556355</v>
      </c>
      <c r="J37" s="199">
        <f t="shared" si="3"/>
        <v>19.95310610776944</v>
      </c>
      <c r="K37" s="182">
        <v>15370</v>
      </c>
      <c r="L37" s="182">
        <v>2775</v>
      </c>
      <c r="M37" s="182">
        <v>5.5</v>
      </c>
      <c r="N37" s="196">
        <f t="shared" si="4"/>
        <v>42.766287922070035</v>
      </c>
      <c r="O37" s="182">
        <v>10099</v>
      </c>
      <c r="P37" s="182">
        <v>850</v>
      </c>
      <c r="Q37" s="182">
        <v>11.9</v>
      </c>
    </row>
    <row r="38" spans="1:17" x14ac:dyDescent="0.25">
      <c r="A38" s="193">
        <v>1974</v>
      </c>
      <c r="B38" s="182">
        <v>9221</v>
      </c>
      <c r="C38" s="182">
        <v>677</v>
      </c>
      <c r="D38" s="182">
        <v>13.6</v>
      </c>
      <c r="E38" s="194">
        <f t="shared" si="1"/>
        <v>17.295189968484205</v>
      </c>
      <c r="F38" s="182">
        <v>9452</v>
      </c>
      <c r="G38" s="182">
        <v>862</v>
      </c>
      <c r="H38" s="182">
        <v>11</v>
      </c>
      <c r="I38" s="195">
        <f t="shared" si="2"/>
        <v>12.133203378817415</v>
      </c>
      <c r="J38" s="199">
        <f t="shared" si="3"/>
        <v>19.386024962050115</v>
      </c>
      <c r="K38" s="182">
        <v>14995</v>
      </c>
      <c r="L38" s="182">
        <v>2708</v>
      </c>
      <c r="M38" s="182">
        <v>5.5</v>
      </c>
      <c r="N38" s="196">
        <f t="shared" si="4"/>
        <v>42.766287922070035</v>
      </c>
      <c r="O38" s="182">
        <v>9493</v>
      </c>
      <c r="P38" s="182">
        <v>788</v>
      </c>
      <c r="Q38" s="182">
        <v>12</v>
      </c>
    </row>
    <row r="39" spans="1:17" x14ac:dyDescent="0.25">
      <c r="A39" s="193">
        <v>1975</v>
      </c>
      <c r="B39" s="182">
        <v>9309</v>
      </c>
      <c r="C39" s="182">
        <v>665</v>
      </c>
      <c r="D39" s="182">
        <v>14</v>
      </c>
      <c r="E39" s="194">
        <f t="shared" si="1"/>
        <v>16.80104168367037</v>
      </c>
      <c r="F39" s="182">
        <v>9829</v>
      </c>
      <c r="G39" s="182">
        <v>934</v>
      </c>
      <c r="H39" s="182">
        <v>10.5</v>
      </c>
      <c r="I39" s="195">
        <f t="shared" si="2"/>
        <v>11.968730456535335</v>
      </c>
      <c r="J39" s="199">
        <f t="shared" si="3"/>
        <v>19.652425495383266</v>
      </c>
      <c r="K39" s="182">
        <v>15167</v>
      </c>
      <c r="L39" s="182">
        <v>2722</v>
      </c>
      <c r="M39" s="182">
        <v>5.6</v>
      </c>
      <c r="N39" s="196">
        <f t="shared" si="4"/>
        <v>42.002604209175928</v>
      </c>
      <c r="O39" s="182">
        <v>9627</v>
      </c>
      <c r="P39" s="182">
        <v>790</v>
      </c>
      <c r="Q39" s="182">
        <v>12.2</v>
      </c>
    </row>
    <row r="40" spans="1:17" x14ac:dyDescent="0.25">
      <c r="A40" s="193">
        <v>1976</v>
      </c>
      <c r="B40" s="182">
        <v>9418</v>
      </c>
      <c r="C40" s="182">
        <v>681</v>
      </c>
      <c r="D40" s="182">
        <v>13.8</v>
      </c>
      <c r="E40" s="194">
        <f t="shared" si="1"/>
        <v>17.044535041404725</v>
      </c>
      <c r="F40" s="182">
        <v>10127</v>
      </c>
      <c r="G40" s="182">
        <v>934</v>
      </c>
      <c r="H40" s="182">
        <v>10.8</v>
      </c>
      <c r="I40" s="195">
        <f t="shared" si="2"/>
        <v>12.102167182662539</v>
      </c>
      <c r="J40" s="199">
        <f t="shared" si="3"/>
        <v>19.435740724880382</v>
      </c>
      <c r="K40" s="182">
        <v>15438</v>
      </c>
      <c r="L40" s="182">
        <v>2764</v>
      </c>
      <c r="M40" s="182">
        <v>5.6</v>
      </c>
      <c r="N40" s="196">
        <f t="shared" si="4"/>
        <v>42.002604209175928</v>
      </c>
      <c r="O40" s="182">
        <v>9774</v>
      </c>
      <c r="P40" s="182">
        <v>806</v>
      </c>
      <c r="Q40" s="182">
        <v>12.1</v>
      </c>
    </row>
    <row r="41" spans="1:17" x14ac:dyDescent="0.25">
      <c r="A41" s="193">
        <v>1977</v>
      </c>
      <c r="B41" s="182">
        <v>9517</v>
      </c>
      <c r="C41" s="182">
        <v>676</v>
      </c>
      <c r="D41" s="182">
        <v>14.1</v>
      </c>
      <c r="E41" s="194">
        <f t="shared" si="1"/>
        <v>16.681885359672709</v>
      </c>
      <c r="F41" s="182">
        <v>10607</v>
      </c>
      <c r="G41" s="182">
        <v>947</v>
      </c>
      <c r="H41" s="182">
        <v>11.2</v>
      </c>
      <c r="I41" s="195">
        <f t="shared" si="2"/>
        <v>12.399260628465804</v>
      </c>
      <c r="J41" s="199">
        <f t="shared" si="3"/>
        <v>18.970049152075042</v>
      </c>
      <c r="K41" s="182">
        <v>16700</v>
      </c>
      <c r="L41" s="182">
        <v>3002</v>
      </c>
      <c r="M41" s="182">
        <v>5.6</v>
      </c>
      <c r="N41" s="196">
        <f t="shared" si="4"/>
        <v>42.002604209175928</v>
      </c>
      <c r="O41" s="182">
        <v>9978</v>
      </c>
      <c r="P41" s="182">
        <v>814</v>
      </c>
      <c r="Q41" s="182">
        <v>12.3</v>
      </c>
    </row>
    <row r="42" spans="1:17" x14ac:dyDescent="0.25">
      <c r="A42" s="193">
        <v>1978</v>
      </c>
      <c r="B42" s="182">
        <v>9500</v>
      </c>
      <c r="C42" s="182">
        <v>665</v>
      </c>
      <c r="D42" s="182">
        <v>14.3</v>
      </c>
      <c r="E42" s="194">
        <f t="shared" si="1"/>
        <v>16.448572277719244</v>
      </c>
      <c r="F42" s="182">
        <v>10968</v>
      </c>
      <c r="G42" s="182">
        <v>948</v>
      </c>
      <c r="H42" s="182">
        <v>11.6</v>
      </c>
      <c r="I42" s="195">
        <f t="shared" si="2"/>
        <v>12.689398636081835</v>
      </c>
      <c r="J42" s="199">
        <f t="shared" si="3"/>
        <v>18.536306590807325</v>
      </c>
      <c r="K42" s="182">
        <v>18045</v>
      </c>
      <c r="L42" s="182">
        <v>3263</v>
      </c>
      <c r="M42" s="182">
        <v>5.5</v>
      </c>
      <c r="N42" s="196">
        <f t="shared" si="4"/>
        <v>42.766287922070035</v>
      </c>
      <c r="O42" s="182">
        <v>10077</v>
      </c>
      <c r="P42" s="182">
        <v>816</v>
      </c>
      <c r="Q42" s="182">
        <v>12.4</v>
      </c>
    </row>
    <row r="43" spans="1:17" x14ac:dyDescent="0.25">
      <c r="A43" s="193">
        <v>1979</v>
      </c>
      <c r="B43" s="182">
        <v>9062</v>
      </c>
      <c r="C43" s="182">
        <v>620</v>
      </c>
      <c r="D43" s="182">
        <v>14.6</v>
      </c>
      <c r="E43" s="194">
        <f t="shared" si="1"/>
        <v>16.110587915848303</v>
      </c>
      <c r="F43" s="182">
        <v>10802</v>
      </c>
      <c r="G43" s="182">
        <v>905</v>
      </c>
      <c r="H43" s="182">
        <v>11.9</v>
      </c>
      <c r="I43" s="195">
        <f t="shared" si="2"/>
        <v>13.025573770491803</v>
      </c>
      <c r="J43" s="199">
        <f t="shared" si="3"/>
        <v>18.057905756462063</v>
      </c>
      <c r="K43" s="182">
        <v>18502</v>
      </c>
      <c r="L43" s="182">
        <v>3380</v>
      </c>
      <c r="M43" s="182">
        <v>5.5</v>
      </c>
      <c r="N43" s="196">
        <f t="shared" si="4"/>
        <v>42.766287922070035</v>
      </c>
      <c r="O43" s="182">
        <v>9722</v>
      </c>
      <c r="P43" s="182">
        <v>776</v>
      </c>
      <c r="Q43" s="182">
        <v>12.5</v>
      </c>
    </row>
    <row r="44" spans="1:17" x14ac:dyDescent="0.25">
      <c r="A44" s="193">
        <v>1980</v>
      </c>
      <c r="B44" s="182">
        <v>8813</v>
      </c>
      <c r="C44" s="182">
        <v>551</v>
      </c>
      <c r="D44" s="182">
        <v>16</v>
      </c>
      <c r="E44" s="194">
        <f t="shared" si="1"/>
        <v>14.700911473211574</v>
      </c>
      <c r="F44" s="182">
        <v>10437</v>
      </c>
      <c r="G44" s="182">
        <v>854</v>
      </c>
      <c r="H44" s="182">
        <v>12.2</v>
      </c>
      <c r="I44" s="195">
        <f t="shared" si="2"/>
        <v>13.701067615658364</v>
      </c>
      <c r="J44" s="199">
        <f t="shared" si="3"/>
        <v>17.167609865859543</v>
      </c>
      <c r="K44" s="182">
        <v>18736</v>
      </c>
      <c r="L44" s="182">
        <v>3447</v>
      </c>
      <c r="M44" s="182">
        <v>5.4</v>
      </c>
      <c r="N44" s="196">
        <f t="shared" si="4"/>
        <v>43.558256216923184</v>
      </c>
      <c r="O44" s="182">
        <v>9458</v>
      </c>
      <c r="P44" s="182">
        <v>712</v>
      </c>
      <c r="Q44" s="182">
        <v>13.3</v>
      </c>
    </row>
    <row r="45" spans="1:17" x14ac:dyDescent="0.25">
      <c r="A45" s="193">
        <v>1981</v>
      </c>
      <c r="B45" s="182">
        <v>8873</v>
      </c>
      <c r="C45" s="182">
        <v>538</v>
      </c>
      <c r="D45" s="182">
        <v>16.5</v>
      </c>
      <c r="E45" s="194">
        <f t="shared" si="1"/>
        <v>14.255429307356678</v>
      </c>
      <c r="F45" s="182">
        <v>10244</v>
      </c>
      <c r="G45" s="182">
        <v>819</v>
      </c>
      <c r="H45" s="182">
        <v>12.5</v>
      </c>
      <c r="I45" s="195">
        <f t="shared" si="2"/>
        <v>14.087693441414887</v>
      </c>
      <c r="J45" s="199">
        <f t="shared" si="3"/>
        <v>16.69645812137729</v>
      </c>
      <c r="K45" s="182">
        <v>19016</v>
      </c>
      <c r="L45" s="182">
        <v>3565</v>
      </c>
      <c r="M45" s="182">
        <v>5.3</v>
      </c>
      <c r="N45" s="196">
        <f t="shared" si="4"/>
        <v>44.380110107808527</v>
      </c>
      <c r="O45" s="182">
        <v>9477</v>
      </c>
      <c r="P45" s="182">
        <v>697</v>
      </c>
      <c r="Q45" s="182">
        <v>13.6</v>
      </c>
    </row>
    <row r="46" spans="1:17" x14ac:dyDescent="0.25">
      <c r="A46" s="193">
        <v>1982</v>
      </c>
      <c r="B46" s="182">
        <v>9050</v>
      </c>
      <c r="C46" s="182">
        <v>535</v>
      </c>
      <c r="D46" s="182">
        <v>16.899999999999999</v>
      </c>
      <c r="E46" s="194">
        <f t="shared" si="1"/>
        <v>13.918022696531668</v>
      </c>
      <c r="F46" s="182">
        <v>10276</v>
      </c>
      <c r="G46" s="182">
        <v>762</v>
      </c>
      <c r="H46" s="182">
        <v>13.5</v>
      </c>
      <c r="I46" s="195">
        <f t="shared" si="2"/>
        <v>14.900539707016192</v>
      </c>
      <c r="J46" s="199">
        <f t="shared" si="3"/>
        <v>15.785641875819444</v>
      </c>
      <c r="K46" s="182">
        <v>19931</v>
      </c>
      <c r="L46" s="182">
        <v>3647</v>
      </c>
      <c r="M46" s="182">
        <v>5.5</v>
      </c>
      <c r="N46" s="196">
        <f t="shared" si="4"/>
        <v>42.766287922070035</v>
      </c>
      <c r="O46" s="182">
        <v>9644</v>
      </c>
      <c r="P46" s="182">
        <v>686</v>
      </c>
      <c r="Q46" s="182">
        <v>14.1</v>
      </c>
    </row>
    <row r="47" spans="1:17" x14ac:dyDescent="0.25">
      <c r="A47" s="193">
        <v>1983</v>
      </c>
      <c r="B47" s="182">
        <v>9118</v>
      </c>
      <c r="C47" s="182">
        <v>534</v>
      </c>
      <c r="D47" s="182">
        <v>17.100000000000001</v>
      </c>
      <c r="E47" s="194">
        <f t="shared" si="1"/>
        <v>13.755238805344161</v>
      </c>
      <c r="F47" s="182">
        <v>10497</v>
      </c>
      <c r="G47" s="182">
        <v>767</v>
      </c>
      <c r="H47" s="182">
        <v>13.7</v>
      </c>
      <c r="I47" s="195">
        <f t="shared" si="2"/>
        <v>15.076863950807072</v>
      </c>
      <c r="J47" s="199">
        <f t="shared" si="3"/>
        <v>15.601028459157385</v>
      </c>
      <c r="K47" s="182">
        <v>21083</v>
      </c>
      <c r="L47" s="182">
        <v>3769</v>
      </c>
      <c r="M47" s="182">
        <v>5.6</v>
      </c>
      <c r="N47" s="196">
        <f t="shared" si="4"/>
        <v>42.002604209175928</v>
      </c>
      <c r="O47" s="182">
        <v>9760</v>
      </c>
      <c r="P47" s="182">
        <v>686</v>
      </c>
      <c r="Q47" s="182">
        <v>14.2</v>
      </c>
    </row>
    <row r="48" spans="1:17" x14ac:dyDescent="0.25">
      <c r="A48" s="193">
        <v>1984</v>
      </c>
      <c r="B48" s="182">
        <v>9248</v>
      </c>
      <c r="C48" s="182">
        <v>530</v>
      </c>
      <c r="D48" s="182">
        <v>17.399999999999999</v>
      </c>
      <c r="E48" s="194">
        <f t="shared" si="1"/>
        <v>13.518079515596851</v>
      </c>
      <c r="F48" s="182">
        <v>11151</v>
      </c>
      <c r="G48" s="182">
        <v>797</v>
      </c>
      <c r="H48" s="182">
        <v>14</v>
      </c>
      <c r="I48" s="195">
        <f t="shared" si="2"/>
        <v>15.37226827430294</v>
      </c>
      <c r="J48" s="199">
        <f t="shared" si="3"/>
        <v>15.301228118987604</v>
      </c>
      <c r="K48" s="182">
        <v>22550</v>
      </c>
      <c r="L48" s="182">
        <v>3967</v>
      </c>
      <c r="M48" s="182">
        <v>5.7</v>
      </c>
      <c r="N48" s="196">
        <f t="shared" si="4"/>
        <v>41.26571641603249</v>
      </c>
      <c r="O48" s="182">
        <v>10017</v>
      </c>
      <c r="P48" s="182">
        <v>691</v>
      </c>
      <c r="Q48" s="182">
        <v>14.5</v>
      </c>
    </row>
    <row r="49" spans="1:17" x14ac:dyDescent="0.25">
      <c r="A49" s="193">
        <v>1985</v>
      </c>
      <c r="B49" s="182">
        <v>9419</v>
      </c>
      <c r="C49" s="182">
        <v>538</v>
      </c>
      <c r="D49" s="182">
        <v>17.5</v>
      </c>
      <c r="E49" s="194">
        <f t="shared" si="1"/>
        <v>13.440833346936296</v>
      </c>
      <c r="F49" s="182">
        <v>10506</v>
      </c>
      <c r="G49" s="182">
        <v>735</v>
      </c>
      <c r="H49" s="182">
        <v>14.3</v>
      </c>
      <c r="I49" s="195">
        <f t="shared" si="2"/>
        <v>15.652003142183817</v>
      </c>
      <c r="J49" s="199">
        <f t="shared" si="3"/>
        <v>15.027762353142954</v>
      </c>
      <c r="K49" s="182">
        <v>20597</v>
      </c>
      <c r="L49" s="182">
        <v>3570</v>
      </c>
      <c r="M49" s="182">
        <v>5.8</v>
      </c>
      <c r="N49" s="196">
        <f t="shared" si="4"/>
        <v>40.55423854679055</v>
      </c>
      <c r="O49" s="182">
        <v>10020</v>
      </c>
      <c r="P49" s="182">
        <v>685</v>
      </c>
      <c r="Q49" s="182">
        <v>14.6</v>
      </c>
    </row>
    <row r="50" spans="1:17" x14ac:dyDescent="0.25">
      <c r="A50" s="193">
        <v>1986</v>
      </c>
      <c r="B50" s="182">
        <v>9464</v>
      </c>
      <c r="C50" s="182">
        <v>543</v>
      </c>
      <c r="D50" s="182">
        <v>17.399999999999999</v>
      </c>
      <c r="E50" s="194">
        <f t="shared" si="1"/>
        <v>13.518079515596851</v>
      </c>
      <c r="F50" s="182">
        <v>10764</v>
      </c>
      <c r="G50" s="182">
        <v>738</v>
      </c>
      <c r="H50" s="182">
        <v>14.6</v>
      </c>
      <c r="I50" s="195">
        <f t="shared" si="2"/>
        <v>15.790788446526152</v>
      </c>
      <c r="J50" s="199">
        <f t="shared" si="3"/>
        <v>14.895683288261045</v>
      </c>
      <c r="K50" s="182">
        <v>22143</v>
      </c>
      <c r="L50" s="182">
        <v>3821</v>
      </c>
      <c r="M50" s="182">
        <v>5.8</v>
      </c>
      <c r="N50" s="196">
        <f t="shared" si="4"/>
        <v>40.55423854679055</v>
      </c>
      <c r="O50" s="182">
        <v>10143</v>
      </c>
      <c r="P50" s="182">
        <v>692</v>
      </c>
      <c r="Q50" s="182">
        <v>14.7</v>
      </c>
    </row>
    <row r="51" spans="1:17" x14ac:dyDescent="0.25">
      <c r="A51" s="193">
        <v>1987</v>
      </c>
      <c r="B51" s="182">
        <v>9720</v>
      </c>
      <c r="C51" s="182">
        <v>539</v>
      </c>
      <c r="D51" s="182">
        <v>18</v>
      </c>
      <c r="E51" s="194">
        <f t="shared" si="1"/>
        <v>13.067476865076955</v>
      </c>
      <c r="F51" s="182">
        <v>11114</v>
      </c>
      <c r="G51" s="182">
        <v>744</v>
      </c>
      <c r="H51" s="182">
        <v>14.9</v>
      </c>
      <c r="I51" s="195">
        <f t="shared" si="2"/>
        <v>16.23850350740452</v>
      </c>
      <c r="J51" s="199">
        <f t="shared" si="3"/>
        <v>14.484991394935548</v>
      </c>
      <c r="K51" s="182">
        <v>23349</v>
      </c>
      <c r="L51" s="182">
        <v>3937</v>
      </c>
      <c r="M51" s="182">
        <v>5.9</v>
      </c>
      <c r="N51" s="196">
        <f t="shared" si="4"/>
        <v>39.866878571421218</v>
      </c>
      <c r="O51" s="182">
        <v>10453</v>
      </c>
      <c r="P51" s="182">
        <v>694</v>
      </c>
      <c r="Q51" s="182">
        <v>15.1</v>
      </c>
    </row>
    <row r="52" spans="1:17" x14ac:dyDescent="0.25">
      <c r="A52" s="193">
        <v>1988</v>
      </c>
      <c r="B52" s="182">
        <v>9972</v>
      </c>
      <c r="C52" s="182">
        <v>531</v>
      </c>
      <c r="D52" s="182">
        <v>18.8</v>
      </c>
      <c r="E52" s="194">
        <f t="shared" si="1"/>
        <v>12.511414019754531</v>
      </c>
      <c r="F52" s="182">
        <v>11465</v>
      </c>
      <c r="G52" s="182">
        <v>745</v>
      </c>
      <c r="H52" s="182">
        <v>15.4</v>
      </c>
      <c r="I52" s="195">
        <f t="shared" si="2"/>
        <v>16.800156739811911</v>
      </c>
      <c r="J52" s="199">
        <f t="shared" si="3"/>
        <v>14.000737446335194</v>
      </c>
      <c r="K52" s="182">
        <v>22485</v>
      </c>
      <c r="L52" s="182">
        <v>3736</v>
      </c>
      <c r="M52" s="182">
        <v>6</v>
      </c>
      <c r="N52" s="196">
        <f t="shared" si="4"/>
        <v>39.202430595230865</v>
      </c>
      <c r="O52" s="182">
        <v>10721</v>
      </c>
      <c r="P52" s="182">
        <v>688</v>
      </c>
      <c r="Q52" s="182">
        <v>15.6</v>
      </c>
    </row>
    <row r="53" spans="1:17" x14ac:dyDescent="0.25">
      <c r="A53" s="193">
        <v>1989</v>
      </c>
      <c r="B53" s="182">
        <v>10157</v>
      </c>
      <c r="C53" s="182">
        <v>533</v>
      </c>
      <c r="D53" s="182">
        <v>19</v>
      </c>
      <c r="E53" s="194">
        <f t="shared" si="1"/>
        <v>12.379714924809747</v>
      </c>
      <c r="F53" s="182">
        <v>11676</v>
      </c>
      <c r="G53" s="182">
        <v>724</v>
      </c>
      <c r="H53" s="182">
        <v>16.100000000000001</v>
      </c>
      <c r="I53" s="195">
        <f t="shared" si="2"/>
        <v>17.369132856006363</v>
      </c>
      <c r="J53" s="199">
        <f t="shared" si="3"/>
        <v>13.542102851153356</v>
      </c>
      <c r="K53" s="182">
        <v>22926</v>
      </c>
      <c r="L53" s="182">
        <v>3776</v>
      </c>
      <c r="M53" s="182">
        <v>6.1</v>
      </c>
      <c r="N53" s="196">
        <f t="shared" si="4"/>
        <v>38.559767798587735</v>
      </c>
      <c r="O53" s="182">
        <v>10932</v>
      </c>
      <c r="P53" s="182">
        <v>688</v>
      </c>
      <c r="Q53" s="182">
        <v>15.9</v>
      </c>
    </row>
    <row r="54" spans="1:17" x14ac:dyDescent="0.25">
      <c r="A54" s="193">
        <v>1990</v>
      </c>
      <c r="B54" s="182">
        <v>10504</v>
      </c>
      <c r="C54" s="182">
        <v>520</v>
      </c>
      <c r="D54" s="182">
        <v>20.2</v>
      </c>
      <c r="E54" s="194">
        <f t="shared" si="1"/>
        <v>11.644286315415108</v>
      </c>
      <c r="F54" s="182">
        <v>11902</v>
      </c>
      <c r="G54" s="182">
        <v>738</v>
      </c>
      <c r="H54" s="182">
        <v>16.100000000000001</v>
      </c>
      <c r="I54" s="195">
        <f t="shared" si="2"/>
        <v>17.810810810810811</v>
      </c>
      <c r="J54" s="199">
        <f t="shared" si="3"/>
        <v>13.206281626921475</v>
      </c>
      <c r="K54" s="182">
        <v>23603</v>
      </c>
      <c r="L54" s="182">
        <v>3953</v>
      </c>
      <c r="M54" s="182">
        <v>6</v>
      </c>
      <c r="N54" s="196">
        <f t="shared" si="4"/>
        <v>39.202430595230865</v>
      </c>
      <c r="O54" s="182">
        <v>11107</v>
      </c>
      <c r="P54" s="182">
        <v>677</v>
      </c>
      <c r="Q54" s="182">
        <v>16.399999999999999</v>
      </c>
    </row>
    <row r="55" spans="1:17" x14ac:dyDescent="0.25">
      <c r="A55" s="193">
        <v>1991</v>
      </c>
      <c r="B55" s="182">
        <v>10571</v>
      </c>
      <c r="C55" s="182">
        <v>501</v>
      </c>
      <c r="D55" s="182">
        <v>21.1</v>
      </c>
      <c r="E55" s="194">
        <f t="shared" si="1"/>
        <v>11.147610595800245</v>
      </c>
      <c r="F55" s="182">
        <v>12245</v>
      </c>
      <c r="G55" s="182">
        <v>721</v>
      </c>
      <c r="H55" s="182">
        <v>17</v>
      </c>
      <c r="I55" s="195">
        <f t="shared" si="2"/>
        <v>18.671031096563013</v>
      </c>
      <c r="J55" s="199">
        <f t="shared" si="3"/>
        <v>12.597835778586635</v>
      </c>
      <c r="K55" s="182">
        <v>24229</v>
      </c>
      <c r="L55" s="182">
        <v>4047</v>
      </c>
      <c r="M55" s="182">
        <v>6</v>
      </c>
      <c r="N55" s="196">
        <f t="shared" si="4"/>
        <v>39.202430595230865</v>
      </c>
      <c r="O55" s="182">
        <v>11294</v>
      </c>
      <c r="P55" s="182">
        <v>669</v>
      </c>
      <c r="Q55" s="182">
        <v>16.899999999999999</v>
      </c>
    </row>
    <row r="56" spans="1:17" x14ac:dyDescent="0.25">
      <c r="A56" s="193">
        <v>1992</v>
      </c>
      <c r="B56" s="182">
        <v>10857</v>
      </c>
      <c r="C56" s="182">
        <v>517</v>
      </c>
      <c r="D56" s="182">
        <v>21</v>
      </c>
      <c r="E56" s="194">
        <f t="shared" si="1"/>
        <v>11.200694455780248</v>
      </c>
      <c r="F56" s="182">
        <v>12381</v>
      </c>
      <c r="G56" s="182">
        <v>717</v>
      </c>
      <c r="H56" s="182">
        <v>17.3</v>
      </c>
      <c r="I56" s="195">
        <f t="shared" si="2"/>
        <v>18.831442463533225</v>
      </c>
      <c r="J56" s="199">
        <f t="shared" si="3"/>
        <v>12.490523974829561</v>
      </c>
      <c r="K56" s="182">
        <v>25373</v>
      </c>
      <c r="L56" s="182">
        <v>4210</v>
      </c>
      <c r="M56" s="182">
        <v>6</v>
      </c>
      <c r="N56" s="196">
        <f t="shared" si="4"/>
        <v>39.202430595230865</v>
      </c>
      <c r="O56" s="182">
        <v>11558</v>
      </c>
      <c r="P56" s="182">
        <v>683</v>
      </c>
      <c r="Q56" s="182">
        <v>16.899999999999999</v>
      </c>
    </row>
    <row r="57" spans="1:17" x14ac:dyDescent="0.25">
      <c r="A57" s="193">
        <v>1993</v>
      </c>
      <c r="B57" s="182">
        <v>10804</v>
      </c>
      <c r="C57" s="182">
        <v>527</v>
      </c>
      <c r="D57" s="182">
        <v>20.5</v>
      </c>
      <c r="E57" s="194">
        <f t="shared" si="1"/>
        <v>11.473882125433423</v>
      </c>
      <c r="F57" s="182">
        <v>12430</v>
      </c>
      <c r="G57" s="182">
        <v>714</v>
      </c>
      <c r="H57" s="182">
        <v>17.399999999999999</v>
      </c>
      <c r="I57" s="195">
        <f t="shared" si="2"/>
        <v>18.721998388396454</v>
      </c>
      <c r="J57" s="199">
        <f t="shared" si="3"/>
        <v>12.563540424037576</v>
      </c>
      <c r="K57" s="182">
        <v>26262</v>
      </c>
      <c r="L57" s="182">
        <v>4309</v>
      </c>
      <c r="M57" s="182">
        <v>6.1</v>
      </c>
      <c r="N57" s="196">
        <f t="shared" si="4"/>
        <v>38.559767798587735</v>
      </c>
      <c r="O57" s="182">
        <v>11595</v>
      </c>
      <c r="P57" s="182">
        <v>693</v>
      </c>
      <c r="Q57" s="182">
        <v>16.7</v>
      </c>
    </row>
    <row r="58" spans="1:17" x14ac:dyDescent="0.25">
      <c r="A58" s="193">
        <v>1994</v>
      </c>
      <c r="B58" s="182">
        <v>10992</v>
      </c>
      <c r="C58" s="182">
        <v>531</v>
      </c>
      <c r="D58" s="182">
        <v>20.7</v>
      </c>
      <c r="E58" s="194">
        <f t="shared" si="1"/>
        <v>11.363023360936483</v>
      </c>
      <c r="F58" s="182">
        <v>12156</v>
      </c>
      <c r="G58" s="182">
        <v>701</v>
      </c>
      <c r="H58" s="182">
        <v>17.3</v>
      </c>
      <c r="I58" s="195">
        <f t="shared" si="2"/>
        <v>18.788961038961038</v>
      </c>
      <c r="J58" s="199">
        <f t="shared" si="3"/>
        <v>12.518764772764237</v>
      </c>
      <c r="K58" s="182">
        <v>25838</v>
      </c>
      <c r="L58" s="182">
        <v>4202</v>
      </c>
      <c r="M58" s="182">
        <v>6.1</v>
      </c>
      <c r="N58" s="196">
        <f t="shared" si="4"/>
        <v>38.559767798587735</v>
      </c>
      <c r="O58" s="182">
        <v>11683</v>
      </c>
      <c r="P58" s="182">
        <v>698</v>
      </c>
      <c r="Q58" s="182">
        <v>16.7</v>
      </c>
    </row>
    <row r="59" spans="1:17" x14ac:dyDescent="0.25">
      <c r="A59" s="193">
        <v>1995</v>
      </c>
      <c r="B59" s="182">
        <v>11203</v>
      </c>
      <c r="C59" s="182">
        <v>530</v>
      </c>
      <c r="D59" s="182">
        <v>21.1</v>
      </c>
      <c r="E59" s="194">
        <f t="shared" si="1"/>
        <v>11.147610595800245</v>
      </c>
      <c r="F59" s="182">
        <v>12018</v>
      </c>
      <c r="G59" s="182">
        <v>694</v>
      </c>
      <c r="H59" s="182">
        <v>17.3</v>
      </c>
      <c r="I59" s="195">
        <f t="shared" si="2"/>
        <v>18.971405228758169</v>
      </c>
      <c r="J59" s="199">
        <f t="shared" si="3"/>
        <v>12.398374328899509</v>
      </c>
      <c r="K59" s="182">
        <v>26514</v>
      </c>
      <c r="L59" s="182">
        <v>4315</v>
      </c>
      <c r="M59" s="182">
        <v>6.1</v>
      </c>
      <c r="N59" s="196">
        <f t="shared" si="4"/>
        <v>38.559767798587735</v>
      </c>
      <c r="O59" s="182">
        <v>11793</v>
      </c>
      <c r="P59" s="182">
        <v>700</v>
      </c>
      <c r="Q59" s="182">
        <v>16.8</v>
      </c>
    </row>
    <row r="60" spans="1:17" x14ac:dyDescent="0.25">
      <c r="A60" s="193">
        <v>1996</v>
      </c>
      <c r="B60" s="182">
        <v>11330</v>
      </c>
      <c r="C60" s="182">
        <v>534</v>
      </c>
      <c r="D60" s="182">
        <v>21.2</v>
      </c>
      <c r="E60" s="194">
        <f t="shared" si="1"/>
        <v>11.095027526952132</v>
      </c>
      <c r="F60" s="182">
        <v>11811</v>
      </c>
      <c r="G60" s="182">
        <v>685</v>
      </c>
      <c r="H60" s="182">
        <v>17.2</v>
      </c>
      <c r="I60" s="195">
        <f t="shared" si="2"/>
        <v>18.983593109105826</v>
      </c>
      <c r="J60" s="199">
        <f t="shared" si="3"/>
        <v>12.390414302472603</v>
      </c>
      <c r="K60" s="182">
        <v>26092</v>
      </c>
      <c r="L60" s="182">
        <v>4221</v>
      </c>
      <c r="M60" s="182">
        <v>6.2</v>
      </c>
      <c r="N60" s="196">
        <f t="shared" si="4"/>
        <v>37.937836059900839</v>
      </c>
      <c r="O60" s="182">
        <v>11813</v>
      </c>
      <c r="P60" s="182">
        <v>700</v>
      </c>
      <c r="Q60" s="182">
        <v>16.899999999999999</v>
      </c>
    </row>
    <row r="61" spans="1:17" x14ac:dyDescent="0.25">
      <c r="A61" s="193">
        <v>1997</v>
      </c>
      <c r="B61" s="182">
        <v>11581</v>
      </c>
      <c r="C61" s="182">
        <v>539</v>
      </c>
      <c r="D61" s="182">
        <v>21.5</v>
      </c>
      <c r="E61" s="194">
        <f t="shared" si="1"/>
        <v>10.940213189366753</v>
      </c>
      <c r="F61" s="182">
        <v>12115</v>
      </c>
      <c r="G61" s="182">
        <v>703</v>
      </c>
      <c r="H61" s="182">
        <v>17.2</v>
      </c>
      <c r="I61" s="195">
        <f t="shared" si="2"/>
        <v>19.07890499194847</v>
      </c>
      <c r="J61" s="199">
        <f t="shared" si="3"/>
        <v>12.328515901234825</v>
      </c>
      <c r="K61" s="182">
        <v>27032</v>
      </c>
      <c r="L61" s="182">
        <v>4218</v>
      </c>
      <c r="M61" s="182">
        <v>6.4</v>
      </c>
      <c r="N61" s="196">
        <f t="shared" si="4"/>
        <v>36.752278683028933</v>
      </c>
      <c r="O61" s="182">
        <v>12107</v>
      </c>
      <c r="P61" s="182">
        <v>711</v>
      </c>
      <c r="Q61" s="182">
        <v>17</v>
      </c>
    </row>
    <row r="62" spans="1:17" x14ac:dyDescent="0.25">
      <c r="A62" s="193">
        <v>1998</v>
      </c>
      <c r="B62" s="182">
        <v>11754</v>
      </c>
      <c r="C62" s="182">
        <v>544</v>
      </c>
      <c r="D62" s="182">
        <v>21.6</v>
      </c>
      <c r="E62" s="194">
        <f t="shared" si="1"/>
        <v>10.889564054230796</v>
      </c>
      <c r="F62" s="182">
        <v>12173</v>
      </c>
      <c r="G62" s="182">
        <v>707</v>
      </c>
      <c r="H62" s="182">
        <v>17.2</v>
      </c>
      <c r="I62" s="195">
        <f t="shared" si="2"/>
        <v>19.126298960831335</v>
      </c>
      <c r="J62" s="199">
        <f t="shared" si="3"/>
        <v>12.29796648337873</v>
      </c>
      <c r="K62" s="182">
        <v>25397</v>
      </c>
      <c r="L62" s="182">
        <v>4135</v>
      </c>
      <c r="M62" s="182">
        <v>6.1</v>
      </c>
      <c r="N62" s="196">
        <f t="shared" si="4"/>
        <v>38.559767798587735</v>
      </c>
      <c r="O62" s="182">
        <v>12211</v>
      </c>
      <c r="P62" s="182">
        <v>721</v>
      </c>
      <c r="Q62" s="182">
        <v>16.899999999999999</v>
      </c>
    </row>
    <row r="63" spans="1:17" x14ac:dyDescent="0.25">
      <c r="A63" s="193">
        <v>1999</v>
      </c>
      <c r="B63" s="182">
        <v>11848</v>
      </c>
      <c r="C63" s="182">
        <v>553</v>
      </c>
      <c r="D63" s="182">
        <v>21.4</v>
      </c>
      <c r="E63" s="194">
        <f t="shared" si="1"/>
        <v>10.99133568090585</v>
      </c>
      <c r="F63" s="182">
        <v>11957</v>
      </c>
      <c r="G63" s="182">
        <v>701</v>
      </c>
      <c r="H63" s="182">
        <v>17</v>
      </c>
      <c r="I63" s="195">
        <f t="shared" si="2"/>
        <v>18.983253588516746</v>
      </c>
      <c r="J63" s="199">
        <f t="shared" si="3"/>
        <v>12.390635908360304</v>
      </c>
      <c r="K63" s="182">
        <v>26014</v>
      </c>
      <c r="L63" s="182">
        <v>4352</v>
      </c>
      <c r="M63" s="182">
        <v>6</v>
      </c>
      <c r="N63" s="196">
        <f t="shared" si="4"/>
        <v>39.202430595230865</v>
      </c>
      <c r="O63" s="182">
        <v>12206</v>
      </c>
      <c r="P63" s="182">
        <v>732</v>
      </c>
      <c r="Q63" s="182">
        <v>16.7</v>
      </c>
    </row>
    <row r="64" spans="1:17" x14ac:dyDescent="0.25">
      <c r="A64" s="193">
        <v>2000</v>
      </c>
      <c r="B64" s="182">
        <v>11976</v>
      </c>
      <c r="C64" s="182">
        <v>547</v>
      </c>
      <c r="D64" s="182">
        <v>21.9</v>
      </c>
      <c r="E64" s="194">
        <f t="shared" si="1"/>
        <v>10.740391943898867</v>
      </c>
      <c r="F64" s="182">
        <v>11672</v>
      </c>
      <c r="G64" s="182">
        <v>669</v>
      </c>
      <c r="H64" s="182">
        <v>17.399999999999999</v>
      </c>
      <c r="I64" s="195">
        <f t="shared" si="2"/>
        <v>19.44736842105263</v>
      </c>
      <c r="J64" s="199">
        <f t="shared" si="3"/>
        <v>12.094931225592203</v>
      </c>
      <c r="K64" s="182">
        <v>25617</v>
      </c>
      <c r="L64" s="182">
        <v>4391</v>
      </c>
      <c r="M64" s="182">
        <v>5.8</v>
      </c>
      <c r="N64" s="196">
        <f t="shared" si="4"/>
        <v>40.55423854679055</v>
      </c>
      <c r="O64" s="182">
        <v>12164</v>
      </c>
      <c r="P64" s="182">
        <v>720</v>
      </c>
      <c r="Q64" s="182">
        <v>16.899999999999999</v>
      </c>
    </row>
    <row r="65" spans="1:17" x14ac:dyDescent="0.25">
      <c r="A65" s="193">
        <v>2001</v>
      </c>
      <c r="B65" s="182">
        <v>11831</v>
      </c>
      <c r="C65" s="182">
        <v>534</v>
      </c>
      <c r="D65" s="182">
        <v>22.1</v>
      </c>
      <c r="E65" s="194">
        <f t="shared" si="1"/>
        <v>10.643193826759511</v>
      </c>
      <c r="F65" s="182">
        <v>11204</v>
      </c>
      <c r="G65" s="182">
        <v>636</v>
      </c>
      <c r="H65" s="182">
        <v>17.600000000000001</v>
      </c>
      <c r="I65" s="195">
        <f t="shared" si="2"/>
        <v>19.688034188034187</v>
      </c>
      <c r="J65" s="199">
        <f t="shared" si="3"/>
        <v>11.947083254982447</v>
      </c>
      <c r="K65" s="182">
        <v>26602</v>
      </c>
      <c r="L65" s="182">
        <v>4477</v>
      </c>
      <c r="M65" s="182">
        <v>5.9</v>
      </c>
      <c r="N65" s="196">
        <f t="shared" si="4"/>
        <v>39.866878571421218</v>
      </c>
      <c r="O65" s="182">
        <v>11887</v>
      </c>
      <c r="P65" s="182">
        <v>695</v>
      </c>
      <c r="Q65" s="182">
        <v>17.100000000000001</v>
      </c>
    </row>
    <row r="66" spans="1:17" x14ac:dyDescent="0.25">
      <c r="A66" s="193">
        <v>2002</v>
      </c>
      <c r="B66" s="182">
        <v>12202</v>
      </c>
      <c r="C66" s="182">
        <v>555</v>
      </c>
      <c r="D66" s="182">
        <v>22</v>
      </c>
      <c r="E66" s="194">
        <f t="shared" si="1"/>
        <v>10.691571980517509</v>
      </c>
      <c r="F66" s="182">
        <v>11364</v>
      </c>
      <c r="G66" s="182">
        <v>650</v>
      </c>
      <c r="H66" s="182">
        <v>17.5</v>
      </c>
      <c r="I66" s="195">
        <f t="shared" si="2"/>
        <v>19.556846473029047</v>
      </c>
      <c r="J66" s="199">
        <f t="shared" si="3"/>
        <v>12.027224527010063</v>
      </c>
      <c r="K66" s="182">
        <v>27071</v>
      </c>
      <c r="L66" s="182">
        <v>4642</v>
      </c>
      <c r="M66" s="182">
        <v>5.8</v>
      </c>
      <c r="N66" s="196">
        <f t="shared" si="4"/>
        <v>40.55423854679055</v>
      </c>
      <c r="O66" s="182">
        <v>12171</v>
      </c>
      <c r="P66" s="182">
        <v>719</v>
      </c>
      <c r="Q66" s="182">
        <v>16.899999999999999</v>
      </c>
    </row>
    <row r="67" spans="1:17" x14ac:dyDescent="0.25">
      <c r="A67" s="193">
        <v>2003</v>
      </c>
      <c r="B67" s="182">
        <v>12325</v>
      </c>
      <c r="C67" s="182">
        <v>556</v>
      </c>
      <c r="D67" s="182">
        <v>22.2</v>
      </c>
      <c r="E67" s="194">
        <f t="shared" si="1"/>
        <v>10.595251512224559</v>
      </c>
      <c r="F67" s="182">
        <v>11287</v>
      </c>
      <c r="G67" s="182">
        <v>697</v>
      </c>
      <c r="H67" s="182">
        <v>16.2</v>
      </c>
      <c r="I67" s="195">
        <f t="shared" si="2"/>
        <v>18.844373503591381</v>
      </c>
      <c r="J67" s="199">
        <f t="shared" si="3"/>
        <v>12.481952956756972</v>
      </c>
      <c r="K67" s="182">
        <v>28093</v>
      </c>
      <c r="L67" s="182">
        <v>4215</v>
      </c>
      <c r="M67" s="182">
        <v>6.7</v>
      </c>
      <c r="N67" s="196">
        <f t="shared" si="4"/>
        <v>35.106654264385845</v>
      </c>
      <c r="O67" s="182">
        <v>12208</v>
      </c>
      <c r="P67" s="182">
        <v>718</v>
      </c>
      <c r="Q67" s="182">
        <v>17</v>
      </c>
    </row>
    <row r="68" spans="1:17" x14ac:dyDescent="0.25">
      <c r="A68" s="193">
        <v>2004</v>
      </c>
      <c r="B68" s="182">
        <v>12460</v>
      </c>
      <c r="C68" s="182">
        <v>553</v>
      </c>
      <c r="D68" s="182">
        <v>22.5</v>
      </c>
      <c r="E68" s="194">
        <f t="shared" si="1"/>
        <v>10.453981492061564</v>
      </c>
      <c r="F68" s="182">
        <v>11184</v>
      </c>
      <c r="G68" s="182">
        <v>690</v>
      </c>
      <c r="H68" s="182">
        <v>16.2</v>
      </c>
      <c r="I68" s="195">
        <f t="shared" si="2"/>
        <v>19.021721641190666</v>
      </c>
      <c r="J68" s="199">
        <f t="shared" si="3"/>
        <v>12.365578048521055</v>
      </c>
      <c r="K68" s="182">
        <v>27023</v>
      </c>
      <c r="L68" s="182">
        <v>4057</v>
      </c>
      <c r="M68" s="182">
        <v>6.7</v>
      </c>
      <c r="N68" s="196">
        <f t="shared" si="4"/>
        <v>35.106654264385845</v>
      </c>
      <c r="O68" s="182">
        <v>12200</v>
      </c>
      <c r="P68" s="182">
        <v>714</v>
      </c>
      <c r="Q68" s="182">
        <v>17.100000000000001</v>
      </c>
    </row>
    <row r="69" spans="1:17" x14ac:dyDescent="0.25">
      <c r="A69" s="193">
        <v>2005</v>
      </c>
      <c r="B69" s="182">
        <v>12510</v>
      </c>
      <c r="C69" s="182">
        <v>567</v>
      </c>
      <c r="D69" s="182">
        <v>22.1</v>
      </c>
      <c r="E69" s="194">
        <f t="shared" si="1"/>
        <v>10.643193826759511</v>
      </c>
      <c r="F69" s="182">
        <v>10920</v>
      </c>
      <c r="G69" s="182">
        <v>617</v>
      </c>
      <c r="H69" s="182">
        <v>17.7</v>
      </c>
      <c r="I69" s="195">
        <f t="shared" si="2"/>
        <v>19.788851351351351</v>
      </c>
      <c r="J69" s="199">
        <f t="shared" si="3"/>
        <v>11.886217112612892</v>
      </c>
      <c r="K69" s="182">
        <v>26235</v>
      </c>
      <c r="L69" s="182">
        <v>4385</v>
      </c>
      <c r="M69" s="182">
        <v>6</v>
      </c>
      <c r="N69" s="196">
        <f t="shared" si="4"/>
        <v>39.202430595230865</v>
      </c>
      <c r="O69" s="182">
        <v>12082</v>
      </c>
      <c r="P69" s="182">
        <v>706</v>
      </c>
      <c r="Q69" s="182">
        <v>17.100000000000001</v>
      </c>
    </row>
    <row r="70" spans="1:17" x14ac:dyDescent="0.25">
      <c r="A70" s="193">
        <v>2006</v>
      </c>
      <c r="B70" s="182">
        <v>12485</v>
      </c>
      <c r="C70" s="182">
        <v>554</v>
      </c>
      <c r="D70" s="182">
        <v>22.5</v>
      </c>
      <c r="E70" s="194">
        <f t="shared" si="1"/>
        <v>10.453981492061564</v>
      </c>
      <c r="F70" s="182">
        <v>10920</v>
      </c>
      <c r="G70" s="182">
        <v>612</v>
      </c>
      <c r="H70" s="182">
        <v>17.8</v>
      </c>
      <c r="I70" s="195">
        <f t="shared" si="2"/>
        <v>20.072898799313894</v>
      </c>
      <c r="J70" s="199">
        <f t="shared" si="3"/>
        <v>11.718017707508444</v>
      </c>
      <c r="K70" s="182">
        <v>25231</v>
      </c>
      <c r="L70" s="182">
        <v>4304</v>
      </c>
      <c r="M70" s="182">
        <v>5.9</v>
      </c>
      <c r="N70" s="196">
        <f t="shared" si="4"/>
        <v>39.866878571421218</v>
      </c>
      <c r="O70" s="182">
        <v>12017</v>
      </c>
      <c r="P70" s="182">
        <v>698</v>
      </c>
      <c r="Q70" s="182">
        <v>17.2</v>
      </c>
    </row>
    <row r="71" spans="1:17" x14ac:dyDescent="0.25">
      <c r="A71" s="193">
        <v>2007</v>
      </c>
      <c r="B71" s="182">
        <v>10710</v>
      </c>
      <c r="C71" s="182">
        <v>468</v>
      </c>
      <c r="D71" s="182">
        <v>22.9</v>
      </c>
      <c r="E71" s="194">
        <f t="shared" si="1"/>
        <v>10.271379195256996</v>
      </c>
      <c r="F71" s="182">
        <v>14970</v>
      </c>
      <c r="G71" s="182">
        <v>877</v>
      </c>
      <c r="H71" s="182">
        <v>17.100000000000001</v>
      </c>
      <c r="I71" s="195">
        <f t="shared" si="2"/>
        <v>19.092936802973977</v>
      </c>
      <c r="J71" s="199">
        <f t="shared" si="3"/>
        <v>12.319455409015307</v>
      </c>
      <c r="K71" s="182">
        <v>28290</v>
      </c>
      <c r="L71" s="182">
        <v>4398</v>
      </c>
      <c r="M71" s="182">
        <v>6.4</v>
      </c>
      <c r="N71" s="196">
        <f t="shared" si="4"/>
        <v>36.752278683028933</v>
      </c>
      <c r="O71" s="182">
        <v>11915</v>
      </c>
      <c r="P71" s="182">
        <v>693</v>
      </c>
      <c r="Q71" s="182">
        <v>17.2</v>
      </c>
    </row>
    <row r="72" spans="1:17" x14ac:dyDescent="0.25">
      <c r="A72" s="193">
        <v>2008</v>
      </c>
      <c r="B72" s="182">
        <v>10290</v>
      </c>
      <c r="C72" s="182">
        <v>435</v>
      </c>
      <c r="D72" s="182">
        <v>23.7</v>
      </c>
      <c r="E72" s="194">
        <f t="shared" si="1"/>
        <v>9.9246659734761682</v>
      </c>
      <c r="F72" s="182">
        <v>15256</v>
      </c>
      <c r="G72" s="182">
        <v>880</v>
      </c>
      <c r="H72" s="182">
        <v>17.3</v>
      </c>
      <c r="I72" s="195">
        <f t="shared" si="2"/>
        <v>19.42661596958175</v>
      </c>
      <c r="J72" s="199">
        <f t="shared" si="3"/>
        <v>12.107851616549421</v>
      </c>
      <c r="K72" s="182">
        <v>28573</v>
      </c>
      <c r="L72" s="182">
        <v>4387</v>
      </c>
      <c r="M72" s="182">
        <v>6.5</v>
      </c>
      <c r="N72" s="196">
        <f t="shared" si="4"/>
        <v>36.186859010982339</v>
      </c>
      <c r="O72" s="182">
        <v>11631</v>
      </c>
      <c r="P72" s="182">
        <v>667</v>
      </c>
      <c r="Q72" s="182">
        <v>17.399999999999999</v>
      </c>
    </row>
    <row r="73" spans="1:17" x14ac:dyDescent="0.25">
      <c r="A73" s="193">
        <v>2009</v>
      </c>
      <c r="B73" s="182">
        <v>10391</v>
      </c>
      <c r="C73" s="182">
        <v>442</v>
      </c>
      <c r="D73" s="182">
        <v>23.5</v>
      </c>
      <c r="E73" s="194">
        <f t="shared" si="1"/>
        <v>10.009131215803626</v>
      </c>
      <c r="F73" s="182">
        <v>15252</v>
      </c>
      <c r="G73" s="182">
        <v>882</v>
      </c>
      <c r="H73" s="182">
        <v>17.3</v>
      </c>
      <c r="I73" s="195">
        <f t="shared" si="2"/>
        <v>19.367824773413897</v>
      </c>
      <c r="J73" s="199">
        <f t="shared" si="3"/>
        <v>12.144605102699138</v>
      </c>
      <c r="K73" s="182">
        <v>26274</v>
      </c>
      <c r="L73" s="182">
        <v>4037</v>
      </c>
      <c r="M73" s="182">
        <v>6.5</v>
      </c>
      <c r="N73" s="196">
        <f t="shared" si="4"/>
        <v>36.186859010982339</v>
      </c>
      <c r="O73" s="182">
        <v>11631</v>
      </c>
      <c r="P73" s="182">
        <v>661</v>
      </c>
      <c r="Q73" s="182">
        <v>17.600000000000001</v>
      </c>
    </row>
    <row r="74" spans="1:17" x14ac:dyDescent="0.25">
      <c r="A74" s="193">
        <v>2010</v>
      </c>
      <c r="B74" s="182">
        <v>10650</v>
      </c>
      <c r="C74" s="182">
        <v>456</v>
      </c>
      <c r="D74" s="182">
        <v>23.3</v>
      </c>
      <c r="E74" s="194">
        <f t="shared" si="1"/>
        <v>10.095046505209664</v>
      </c>
      <c r="F74" s="182">
        <v>15474</v>
      </c>
      <c r="G74" s="182">
        <v>901</v>
      </c>
      <c r="H74" s="182">
        <v>17.2</v>
      </c>
      <c r="I74" s="195">
        <f t="shared" si="2"/>
        <v>19.251289609432572</v>
      </c>
      <c r="J74" s="199">
        <f t="shared" si="3"/>
        <v>12.218120881425881</v>
      </c>
      <c r="K74" s="182">
        <v>26604</v>
      </c>
      <c r="L74" s="182">
        <v>4180</v>
      </c>
      <c r="M74" s="182">
        <v>6.4</v>
      </c>
      <c r="N74" s="196">
        <f t="shared" si="4"/>
        <v>36.752278683028933</v>
      </c>
      <c r="O74" s="182">
        <v>11866</v>
      </c>
      <c r="P74" s="182">
        <v>681</v>
      </c>
      <c r="Q74" s="182">
        <v>17.399999999999999</v>
      </c>
    </row>
    <row r="75" spans="1:17" x14ac:dyDescent="0.25">
      <c r="A75" s="193">
        <v>2011</v>
      </c>
      <c r="B75" s="182">
        <v>11150</v>
      </c>
      <c r="C75" s="182">
        <v>481</v>
      </c>
      <c r="D75" s="182">
        <v>23.2</v>
      </c>
      <c r="E75" s="194">
        <f t="shared" si="1"/>
        <v>10.138559636697638</v>
      </c>
      <c r="F75" s="182">
        <v>12007</v>
      </c>
      <c r="G75" s="182">
        <v>702</v>
      </c>
      <c r="H75" s="182">
        <v>17.100000000000001</v>
      </c>
      <c r="I75" s="195">
        <f t="shared" si="2"/>
        <v>19.574809805579036</v>
      </c>
      <c r="J75" s="199">
        <f t="shared" si="3"/>
        <v>12.016187432091751</v>
      </c>
      <c r="K75" s="182">
        <v>26054</v>
      </c>
      <c r="L75" s="182">
        <v>4128</v>
      </c>
      <c r="M75" s="182">
        <v>6.3</v>
      </c>
      <c r="N75" s="196">
        <f t="shared" si="4"/>
        <v>37.335648185934161</v>
      </c>
      <c r="O75" s="182">
        <v>11652</v>
      </c>
      <c r="P75" s="182">
        <v>665</v>
      </c>
      <c r="Q75" s="182">
        <v>17.5</v>
      </c>
    </row>
    <row r="76" spans="1:17" x14ac:dyDescent="0.25">
      <c r="A76" s="193">
        <v>2012</v>
      </c>
      <c r="B76" s="182">
        <v>11262</v>
      </c>
      <c r="C76" s="182">
        <v>484</v>
      </c>
      <c r="D76" s="182">
        <v>23.3</v>
      </c>
      <c r="E76" s="194">
        <f t="shared" si="1"/>
        <v>10.095046505209664</v>
      </c>
      <c r="F76" s="182">
        <v>11885</v>
      </c>
      <c r="G76" s="182">
        <v>694</v>
      </c>
      <c r="H76" s="182">
        <v>17.100000000000001</v>
      </c>
      <c r="I76" s="195">
        <f t="shared" si="2"/>
        <v>19.649405772495754</v>
      </c>
      <c r="J76" s="199">
        <f t="shared" si="3"/>
        <v>11.970569812377059</v>
      </c>
      <c r="K76" s="182">
        <v>25255</v>
      </c>
      <c r="L76" s="182">
        <v>3973</v>
      </c>
      <c r="M76" s="182">
        <v>6.4</v>
      </c>
      <c r="N76" s="196">
        <f t="shared" si="4"/>
        <v>36.752278683028933</v>
      </c>
      <c r="O76" s="182">
        <v>11707</v>
      </c>
      <c r="P76" s="182">
        <v>665</v>
      </c>
      <c r="Q76" s="182">
        <v>17.600000000000001</v>
      </c>
    </row>
    <row r="77" spans="1:17" x14ac:dyDescent="0.25">
      <c r="A77" s="193">
        <v>2013</v>
      </c>
      <c r="B77" s="182">
        <v>11244</v>
      </c>
      <c r="C77" s="182">
        <v>480</v>
      </c>
      <c r="D77" s="182">
        <v>23.4</v>
      </c>
      <c r="E77" s="194">
        <f t="shared" si="1"/>
        <v>10.051905280828427</v>
      </c>
      <c r="F77" s="182">
        <v>11712</v>
      </c>
      <c r="G77" s="182">
        <v>683</v>
      </c>
      <c r="H77" s="182">
        <v>17.2</v>
      </c>
      <c r="I77" s="195">
        <f t="shared" si="2"/>
        <v>19.73860705073087</v>
      </c>
      <c r="J77" s="199">
        <f t="shared" si="3"/>
        <v>11.916473283390877</v>
      </c>
      <c r="K77" s="182">
        <v>25951</v>
      </c>
      <c r="L77" s="182">
        <v>4086</v>
      </c>
      <c r="M77" s="182">
        <v>6.4</v>
      </c>
      <c r="N77" s="196">
        <f t="shared" si="4"/>
        <v>36.752278683028933</v>
      </c>
      <c r="O77" s="182">
        <v>11679</v>
      </c>
      <c r="P77" s="182">
        <v>663</v>
      </c>
      <c r="Q77" s="182">
        <v>17.600000000000001</v>
      </c>
    </row>
    <row r="78" spans="1:17" x14ac:dyDescent="0.25">
      <c r="A78" s="193">
        <v>2014</v>
      </c>
      <c r="B78" s="182">
        <v>11048</v>
      </c>
      <c r="C78" s="182">
        <v>476</v>
      </c>
      <c r="D78" s="182">
        <v>23.2</v>
      </c>
      <c r="E78" s="194">
        <f t="shared" ref="E78:E82" si="5">$B$5/D78</f>
        <v>10.138559636697638</v>
      </c>
      <c r="F78" s="182">
        <v>12138</v>
      </c>
      <c r="G78" s="182">
        <v>710</v>
      </c>
      <c r="H78" s="182">
        <v>17.100000000000001</v>
      </c>
      <c r="I78" s="195">
        <f t="shared" si="2"/>
        <v>19.549747048903878</v>
      </c>
      <c r="J78" s="199">
        <f t="shared" si="3"/>
        <v>12.031592172675875</v>
      </c>
      <c r="K78" s="182">
        <v>25594</v>
      </c>
      <c r="L78" s="182">
        <v>4036</v>
      </c>
      <c r="M78" s="182">
        <v>6.3</v>
      </c>
      <c r="N78" s="196">
        <f t="shared" si="4"/>
        <v>37.335648185934161</v>
      </c>
      <c r="O78" s="182">
        <v>11621</v>
      </c>
      <c r="P78" s="182">
        <v>666</v>
      </c>
      <c r="Q78" s="182">
        <v>17.5</v>
      </c>
    </row>
    <row r="79" spans="1:17" x14ac:dyDescent="0.25">
      <c r="A79" s="193">
        <v>2015</v>
      </c>
      <c r="B79" s="182">
        <v>11327</v>
      </c>
      <c r="C79" s="182">
        <v>475</v>
      </c>
      <c r="D79" s="182">
        <v>23.9</v>
      </c>
      <c r="E79" s="194">
        <f t="shared" si="5"/>
        <v>9.8416143753717655</v>
      </c>
      <c r="F79" s="182">
        <v>11855</v>
      </c>
      <c r="G79" s="182">
        <v>684</v>
      </c>
      <c r="H79" s="182">
        <v>17.3</v>
      </c>
      <c r="I79" s="195">
        <f t="shared" si="2"/>
        <v>20.001725625539258</v>
      </c>
      <c r="J79" s="199">
        <f t="shared" si="3"/>
        <v>11.759714535382427</v>
      </c>
      <c r="K79" s="182">
        <v>24979</v>
      </c>
      <c r="L79" s="182">
        <v>3904</v>
      </c>
      <c r="M79" s="182">
        <v>6.4</v>
      </c>
      <c r="N79" s="196">
        <f t="shared" si="4"/>
        <v>36.752278683028933</v>
      </c>
      <c r="O79" s="182">
        <v>11742</v>
      </c>
      <c r="P79" s="182">
        <v>656</v>
      </c>
      <c r="Q79" s="182">
        <v>17.899999999999999</v>
      </c>
    </row>
    <row r="80" spans="1:17" x14ac:dyDescent="0.25">
      <c r="A80" s="193">
        <v>2016</v>
      </c>
      <c r="B80" s="182">
        <v>11370</v>
      </c>
      <c r="C80" s="182">
        <v>475</v>
      </c>
      <c r="D80" s="182">
        <v>24</v>
      </c>
      <c r="E80" s="194">
        <f t="shared" si="5"/>
        <v>9.8006076488077163</v>
      </c>
      <c r="F80" s="182">
        <v>11991</v>
      </c>
      <c r="G80" s="182">
        <v>689</v>
      </c>
      <c r="H80" s="182">
        <v>17.399999999999999</v>
      </c>
      <c r="I80" s="195">
        <f t="shared" si="2"/>
        <v>20.069587628865978</v>
      </c>
      <c r="J80" s="199">
        <f t="shared" si="3"/>
        <v>11.719950998548537</v>
      </c>
      <c r="K80" s="182">
        <v>25037</v>
      </c>
      <c r="L80" s="182">
        <v>3904</v>
      </c>
      <c r="M80" s="182">
        <v>6.4</v>
      </c>
      <c r="N80" s="196">
        <f t="shared" si="4"/>
        <v>36.752278683028933</v>
      </c>
      <c r="O80" s="182">
        <v>11810</v>
      </c>
      <c r="P80" s="182">
        <v>658</v>
      </c>
      <c r="Q80" s="182">
        <v>17.899999999999999</v>
      </c>
    </row>
    <row r="81" spans="1:17" x14ac:dyDescent="0.25">
      <c r="A81" s="193">
        <v>2017</v>
      </c>
      <c r="B81" s="182">
        <v>11467</v>
      </c>
      <c r="C81" s="182">
        <v>474</v>
      </c>
      <c r="D81" s="182">
        <v>24.2</v>
      </c>
      <c r="E81" s="194">
        <f t="shared" si="5"/>
        <v>9.7196108913795545</v>
      </c>
      <c r="F81" s="182">
        <v>11543</v>
      </c>
      <c r="G81" s="182">
        <v>659</v>
      </c>
      <c r="H81" s="182">
        <v>17.5</v>
      </c>
      <c r="I81" s="195">
        <f t="shared" si="2"/>
        <v>20.308914386584288</v>
      </c>
      <c r="J81" s="199">
        <f t="shared" si="3"/>
        <v>11.581839338825704</v>
      </c>
      <c r="K81" s="182">
        <v>24335</v>
      </c>
      <c r="L81" s="182">
        <v>3758</v>
      </c>
      <c r="M81" s="182">
        <v>6.5</v>
      </c>
      <c r="N81" s="196">
        <f t="shared" si="4"/>
        <v>36.186859010982339</v>
      </c>
      <c r="O81" s="182">
        <v>11789</v>
      </c>
      <c r="P81" s="182">
        <v>653</v>
      </c>
      <c r="Q81" s="182">
        <v>18.100000000000001</v>
      </c>
    </row>
    <row r="82" spans="1:17" x14ac:dyDescent="0.25">
      <c r="A82" s="193">
        <v>2018</v>
      </c>
      <c r="B82" s="182">
        <v>11576</v>
      </c>
      <c r="C82" s="182">
        <v>475</v>
      </c>
      <c r="D82" s="182">
        <v>24.4</v>
      </c>
      <c r="E82" s="194">
        <f t="shared" si="5"/>
        <v>9.6399419496469338</v>
      </c>
      <c r="F82" s="182">
        <v>11486</v>
      </c>
      <c r="G82" s="182">
        <v>643</v>
      </c>
      <c r="H82" s="182">
        <v>17.899999999999999</v>
      </c>
      <c r="I82" s="195">
        <f t="shared" si="2"/>
        <v>20.627906976744185</v>
      </c>
      <c r="J82" s="199">
        <f t="shared" si="3"/>
        <v>11.402736294892405</v>
      </c>
      <c r="K82" s="182">
        <v>23037</v>
      </c>
      <c r="L82" s="182">
        <v>3507</v>
      </c>
      <c r="M82" s="182">
        <v>6.6</v>
      </c>
      <c r="N82" s="196">
        <f t="shared" si="4"/>
        <v>35.638573268391696</v>
      </c>
      <c r="O82" s="182">
        <v>11843</v>
      </c>
      <c r="P82" s="182">
        <v>651</v>
      </c>
      <c r="Q82" s="182">
        <v>18.2</v>
      </c>
    </row>
  </sheetData>
  <sheetProtection formatCells="0" formatColumns="0" formatRows="0" insertColumns="0" insertRows="0" insertHyperlinks="0" deleteColumns="0" deleteRows="0" sort="0" autoFilter="0" pivotTables="0"/>
  <hyperlinks>
    <hyperlink ref="A4" r:id="rId1" display="http://www.eia.gov/totalenergy/data/monthly/dataunits.cfm" xr:uid="{00000000-0004-0000-0600-000000000000}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theme="9" tint="0.59999389629810485"/>
  </sheetPr>
  <dimension ref="B24:D25"/>
  <sheetViews>
    <sheetView topLeftCell="A11" workbookViewId="0">
      <selection activeCell="G27" sqref="G27"/>
    </sheetView>
  </sheetViews>
  <sheetFormatPr defaultColWidth="10.5" defaultRowHeight="15.75" x14ac:dyDescent="0.25"/>
  <cols>
    <col min="3" max="3" width="18" customWidth="1"/>
  </cols>
  <sheetData>
    <row r="24" spans="2:4" x14ac:dyDescent="0.25">
      <c r="D24" t="s">
        <v>3</v>
      </c>
    </row>
    <row r="25" spans="2:4" x14ac:dyDescent="0.25">
      <c r="B25" t="s">
        <v>4</v>
      </c>
      <c r="D25">
        <v>6.5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theme="9" tint="0.39997558519241921"/>
  </sheetPr>
  <dimension ref="A1"/>
  <sheetViews>
    <sheetView workbookViewId="0">
      <selection activeCell="I20" sqref="I20"/>
    </sheetView>
  </sheetViews>
  <sheetFormatPr defaultColWidth="8.875" defaultRowHeight="15.7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29</vt:i4>
      </vt:variant>
    </vt:vector>
  </HeadingPairs>
  <TitlesOfParts>
    <vt:vector size="29" baseType="lpstr">
      <vt:lpstr>REFS</vt:lpstr>
      <vt:lpstr>FIN_ETA</vt:lpstr>
      <vt:lpstr>PB COMMENTS</vt:lpstr>
      <vt:lpstr>1_HDV calcs</vt:lpstr>
      <vt:lpstr>Country mapping</vt:lpstr>
      <vt:lpstr>1_UK stats HDVs</vt:lpstr>
      <vt:lpstr>1_USA Table 1.8 realworld</vt:lpstr>
      <vt:lpstr>Cunanan2021</vt:lpstr>
      <vt:lpstr>ICCT rodrigeuz 2018</vt:lpstr>
      <vt:lpstr>Daw2013</vt:lpstr>
      <vt:lpstr>Dawood2003</vt:lpstr>
      <vt:lpstr>Delgado2017</vt:lpstr>
      <vt:lpstr>Delgado_2016</vt:lpstr>
      <vt:lpstr>Langer2013</vt:lpstr>
      <vt:lpstr>weller2019</vt:lpstr>
      <vt:lpstr>Smallbone2020</vt:lpstr>
      <vt:lpstr>schoettle2016</vt:lpstr>
      <vt:lpstr>Holmberg 2014</vt:lpstr>
      <vt:lpstr>He_2014</vt:lpstr>
      <vt:lpstr>Karavalakis2016</vt:lpstr>
      <vt:lpstr>Keramydas2019</vt:lpstr>
      <vt:lpstr>Mao2021</vt:lpstr>
      <vt:lpstr>Zamboni2015</vt:lpstr>
      <vt:lpstr>Collier2019</vt:lpstr>
      <vt:lpstr>SS_Tormos2019</vt:lpstr>
      <vt:lpstr>SS_Zhu2010</vt:lpstr>
      <vt:lpstr>SS_Namukasa2020</vt:lpstr>
      <vt:lpstr>SS_Zoldy2019</vt:lpstr>
      <vt:lpstr>SS_Backman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User</cp:lastModifiedBy>
  <dcterms:created xsi:type="dcterms:W3CDTF">2021-07-21T12:39:28Z</dcterms:created>
  <dcterms:modified xsi:type="dcterms:W3CDTF">2022-07-06T10:55:36Z</dcterms:modified>
</cp:coreProperties>
</file>